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-2" sheetId="10" r:id="rId10"/>
    <sheet name="січень" sheetId="11" r:id="rId11"/>
  </sheets>
  <externalReferences>
    <externalReference r:id="rId14"/>
  </externalReferences>
  <definedNames>
    <definedName name="_xlnm.Print_Area" localSheetId="10">'січень'!$A$1:$R$87</definedName>
    <definedName name="_xlnm.Print_Area" localSheetId="4">'червень'!$B$2:$J$85</definedName>
  </definedNames>
  <calcPr fullCalcOnLoad="1"/>
</workbook>
</file>

<file path=xl/sharedStrings.xml><?xml version="1.0" encoding="utf-8"?>
<sst xmlns="http://schemas.openxmlformats.org/spreadsheetml/2006/main" count="1425" uniqueCount="216">
  <si>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</si>
  <si>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</si>
  <si>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</si>
  <si>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</si>
  <si>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</si>
  <si>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</si>
  <si>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</si>
  <si>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</si>
  <si>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</si>
  <si>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</si>
  <si>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</si>
  <si>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</si>
  <si>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</si>
  <si>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</si>
  <si>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</si>
  <si>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</si>
  <si>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</si>
  <si>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</si>
  <si>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</si>
  <si>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</si>
  <si>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</si>
  <si>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</si>
  <si>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</si>
  <si>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</si>
  <si>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</si>
  <si>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</si>
  <si>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</si>
  <si>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</si>
  <si>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</si>
  <si>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</si>
  <si>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</si>
  <si>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</si>
  <si>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</si>
  <si>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</si>
  <si>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</si>
  <si>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</si>
  <si>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</si>
  <si>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</si>
  <si>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</si>
  <si>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</si>
  <si>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</si>
  <si>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</si>
  <si>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</si>
  <si>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</si>
  <si>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</si>
  <si>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</si>
  <si>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</si>
  <si>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</si>
  <si>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</si>
  <si>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</si>
  <si>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</si>
  <si>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</si>
  <si>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</si>
  <si>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</si>
  <si>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</si>
  <si>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</si>
  <si>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</si>
  <si>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</si>
  <si>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</si>
  <si>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</si>
  <si>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</si>
  <si>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</si>
  <si>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</si>
  <si>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</si>
  <si>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</si>
  <si>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</si>
  <si>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</si>
  <si>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</si>
  <si>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</si>
  <si>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</si>
  <si>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</si>
  <si>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</si>
  <si>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</si>
  <si>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</si>
  <si>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</si>
  <si>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</si>
  <si>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</si>
  <si>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</si>
  <si>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</si>
  <si>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</si>
  <si>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</si>
  <si>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</si>
  <si>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</si>
  <si>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</si>
  <si>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</si>
  <si>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</si>
  <si>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</si>
  <si>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</si>
  <si>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</si>
  <si>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</si>
  <si>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</si>
  <si>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</si>
  <si>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</si>
  <si>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</si>
  <si>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</si>
  <si>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</si>
  <si>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</si>
  <si>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</si>
  <si>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</si>
  <si>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</si>
  <si>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</si>
  <si>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</si>
  <si>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</si>
  <si>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</si>
  <si>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</si>
  <si>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</si>
  <si>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</si>
  <si>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</si>
  <si>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</si>
  <si>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</si>
  <si>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</si>
  <si>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</si>
  <si>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</si>
  <si>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</si>
  <si>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</si>
  <si>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</si>
  <si>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</si>
  <si>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</si>
  <si>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</si>
  <si>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</si>
  <si>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</si>
  <si>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</si>
  <si>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</si>
  <si>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</si>
  <si>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</si>
  <si>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</si>
  <si>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</si>
  <si>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</si>
  <si>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</si>
  <si>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</si>
  <si>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</si>
  <si>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</si>
  <si>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</si>
  <si>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</si>
  <si>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</si>
  <si>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</si>
  <si>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</si>
  <si>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</si>
  <si>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</si>
  <si>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</si>
  <si>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</si>
  <si>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</si>
  <si>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</si>
  <si>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</si>
  <si>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</si>
  <si>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</si>
  <si>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</si>
  <si>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</si>
  <si>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</si>
  <si>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</si>
  <si>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</si>
  <si>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</si>
  <si>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</si>
  <si>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</si>
  <si>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</si>
  <si>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</si>
  <si>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</si>
  <si>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</si>
  <si>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</si>
  <si>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</si>
  <si>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</si>
  <si>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</si>
  <si>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</si>
  <si>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</si>
  <si>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</si>
  <si>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</si>
  <si>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</si>
  <si>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</si>
  <si>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</si>
  <si>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</si>
  <si>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</si>
  <si>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</si>
  <si>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</si>
  <si>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</si>
  <si>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</si>
  <si>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</si>
  <si>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</si>
  <si>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</si>
  <si>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</si>
  <si>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</si>
  <si>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</si>
  <si>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</si>
  <si>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</si>
  <si>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</si>
  <si>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</si>
  <si>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</si>
  <si>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</si>
  <si>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</si>
  <si>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</si>
  <si>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</si>
  <si>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</si>
  <si>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</si>
  <si>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</si>
  <si>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</si>
  <si>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</si>
  <si>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</si>
  <si>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</si>
  <si>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</si>
  <si>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</si>
  <si>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</si>
  <si>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</si>
  <si>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</si>
  <si>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</si>
  <si>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</si>
  <si>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</si>
  <si>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</si>
  <si>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</si>
  <si>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30.09.16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</si>
  <si>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</si>
  <si>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</si>
  <si>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</t>
    </r>
  </si>
  <si>
    <t>Відхилення (+,-) до  плану на січень-жовтень 2016 року</t>
  </si>
  <si>
    <t>% виконання  плану на січень-жовтень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</si>
  <si>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</si>
  <si>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</si>
  <si>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20.10.16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</si>
</sst>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6.10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3">
        <row r="6">
          <cell r="G6">
            <v>528272.07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8" zoomScaleNormal="78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6" t="s">
        <v>214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92"/>
      <c r="S1" s="93"/>
    </row>
    <row r="2" spans="2:19" s="1" customFormat="1" ht="15.75" customHeight="1">
      <c r="B2" s="437"/>
      <c r="C2" s="437"/>
      <c r="D2" s="43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89"/>
      <c r="N3" s="446" t="s">
        <v>208</v>
      </c>
      <c r="O3" s="447" t="s">
        <v>209</v>
      </c>
      <c r="P3" s="447"/>
      <c r="Q3" s="447"/>
      <c r="R3" s="447"/>
      <c r="S3" s="447"/>
    </row>
    <row r="4" spans="1:19" ht="22.5" customHeight="1">
      <c r="A4" s="438"/>
      <c r="B4" s="440"/>
      <c r="C4" s="441"/>
      <c r="D4" s="442"/>
      <c r="E4" s="448" t="s">
        <v>210</v>
      </c>
      <c r="F4" s="430" t="s">
        <v>34</v>
      </c>
      <c r="G4" s="423" t="s">
        <v>211</v>
      </c>
      <c r="H4" s="432" t="s">
        <v>212</v>
      </c>
      <c r="I4" s="423" t="s">
        <v>122</v>
      </c>
      <c r="J4" s="432" t="s">
        <v>123</v>
      </c>
      <c r="K4" s="91" t="s">
        <v>186</v>
      </c>
      <c r="L4" s="249" t="s">
        <v>185</v>
      </c>
      <c r="M4" s="96" t="s">
        <v>64</v>
      </c>
      <c r="N4" s="432"/>
      <c r="O4" s="434" t="s">
        <v>215</v>
      </c>
      <c r="P4" s="423" t="s">
        <v>50</v>
      </c>
      <c r="Q4" s="425" t="s">
        <v>49</v>
      </c>
      <c r="R4" s="97" t="s">
        <v>65</v>
      </c>
      <c r="S4" s="98" t="s">
        <v>64</v>
      </c>
    </row>
    <row r="5" spans="1:19" ht="67.5" customHeight="1">
      <c r="A5" s="439"/>
      <c r="B5" s="440"/>
      <c r="C5" s="441"/>
      <c r="D5" s="442"/>
      <c r="E5" s="449"/>
      <c r="F5" s="431"/>
      <c r="G5" s="424"/>
      <c r="H5" s="433"/>
      <c r="I5" s="424"/>
      <c r="J5" s="433"/>
      <c r="K5" s="426" t="s">
        <v>213</v>
      </c>
      <c r="L5" s="427"/>
      <c r="M5" s="428"/>
      <c r="N5" s="433"/>
      <c r="O5" s="435"/>
      <c r="P5" s="424"/>
      <c r="Q5" s="425"/>
      <c r="R5" s="426" t="s">
        <v>120</v>
      </c>
      <c r="S5" s="42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795675.9299999999</v>
      </c>
      <c r="F8" s="191">
        <f>F9+F15+F18+F19+F20+F37+F17</f>
        <v>750889.15</v>
      </c>
      <c r="G8" s="191">
        <f aca="true" t="shared" si="0" ref="G8:G37">F8-E8</f>
        <v>-44786.77999999991</v>
      </c>
      <c r="H8" s="192">
        <f>F8/E8*100</f>
        <v>94.37122849751155</v>
      </c>
      <c r="I8" s="193">
        <f>F8-D8</f>
        <v>-206182.30000000005</v>
      </c>
      <c r="J8" s="193">
        <f>F8/D8*100</f>
        <v>78.45695846428184</v>
      </c>
      <c r="K8" s="191">
        <v>542586.23</v>
      </c>
      <c r="L8" s="191">
        <f aca="true" t="shared" si="1" ref="L8:L51">F8-K8</f>
        <v>208302.92000000004</v>
      </c>
      <c r="M8" s="250">
        <f aca="true" t="shared" si="2" ref="M8:M28">F8/K8</f>
        <v>1.3839074942981875</v>
      </c>
      <c r="N8" s="191">
        <f>N9+N15+N18+N19+N20+N17</f>
        <v>89825.12</v>
      </c>
      <c r="O8" s="191">
        <f>O9+O15+O18+O19+O20+O17</f>
        <v>42850.480000000054</v>
      </c>
      <c r="P8" s="191">
        <f>O8-N8</f>
        <v>-46974.63999999994</v>
      </c>
      <c r="Q8" s="191">
        <f>O8/N8*100</f>
        <v>47.70433927614019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429123.67</v>
      </c>
      <c r="F9" s="196">
        <v>411428.83</v>
      </c>
      <c r="G9" s="190">
        <f t="shared" si="0"/>
        <v>-17694.839999999967</v>
      </c>
      <c r="H9" s="197">
        <f>F9/E9*100</f>
        <v>95.87651736852456</v>
      </c>
      <c r="I9" s="198">
        <f>F9-D9</f>
        <v>-119160.16999999998</v>
      </c>
      <c r="J9" s="198">
        <f>F9/D9*100</f>
        <v>77.5419072012424</v>
      </c>
      <c r="K9" s="412">
        <v>296275.33</v>
      </c>
      <c r="L9" s="199">
        <f t="shared" si="1"/>
        <v>115153.5</v>
      </c>
      <c r="M9" s="251">
        <f t="shared" si="2"/>
        <v>1.38867056531504</v>
      </c>
      <c r="N9" s="197">
        <f>E9-вересень!E9</f>
        <v>50045</v>
      </c>
      <c r="O9" s="200">
        <f>F9-вересень!F9</f>
        <v>26102.420000000042</v>
      </c>
      <c r="P9" s="201">
        <f>O9-N9</f>
        <v>-23942.579999999958</v>
      </c>
      <c r="Q9" s="198">
        <f>O9/N9*100</f>
        <v>52.15789789189738</v>
      </c>
      <c r="R9" s="106"/>
      <c r="S9" s="107"/>
      <c r="T9" s="186">
        <f>D9-E9</f>
        <v>101465.33000000002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386150.24</v>
      </c>
      <c r="F10" s="171">
        <v>363374.36</v>
      </c>
      <c r="G10" s="109">
        <f t="shared" si="0"/>
        <v>-22775.880000000005</v>
      </c>
      <c r="H10" s="32">
        <f aca="true" t="shared" si="3" ref="H10:H36">F10/E10*100</f>
        <v>94.10180866390242</v>
      </c>
      <c r="I10" s="110">
        <f aca="true" t="shared" si="4" ref="I10:I37">F10-D10</f>
        <v>-121834.64000000001</v>
      </c>
      <c r="J10" s="110">
        <f aca="true" t="shared" si="5" ref="J10:J36">F10/D10*100</f>
        <v>74.89027614904093</v>
      </c>
      <c r="K10" s="112">
        <v>262635.28</v>
      </c>
      <c r="L10" s="112">
        <f t="shared" si="1"/>
        <v>100739.07999999996</v>
      </c>
      <c r="M10" s="252">
        <f t="shared" si="2"/>
        <v>1.38357024996794</v>
      </c>
      <c r="N10" s="111">
        <f>E10-вересень!E10</f>
        <v>47580</v>
      </c>
      <c r="O10" s="179">
        <f>F10-вересень!F10</f>
        <v>24105.309999999998</v>
      </c>
      <c r="P10" s="112">
        <f aca="true" t="shared" si="6" ref="P10:P37">O10-N10</f>
        <v>-23474.690000000002</v>
      </c>
      <c r="Q10" s="198">
        <f aca="true" t="shared" si="7" ref="Q10:Q16">O10/N10*100</f>
        <v>50.66269440941572</v>
      </c>
      <c r="R10" s="42"/>
      <c r="S10" s="100"/>
      <c r="T10" s="186">
        <f aca="true" t="shared" si="8" ref="T10:T73">D10-E10</f>
        <v>99058.76000000001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22814.94</v>
      </c>
      <c r="F11" s="171">
        <v>29413.1</v>
      </c>
      <c r="G11" s="109">
        <f t="shared" si="0"/>
        <v>6598.16</v>
      </c>
      <c r="H11" s="32">
        <f t="shared" si="3"/>
        <v>128.92034780718248</v>
      </c>
      <c r="I11" s="110">
        <f t="shared" si="4"/>
        <v>6413.0999999999985</v>
      </c>
      <c r="J11" s="110">
        <f t="shared" si="5"/>
        <v>127.88304347826087</v>
      </c>
      <c r="K11" s="112">
        <v>15809.05</v>
      </c>
      <c r="L11" s="112">
        <f t="shared" si="1"/>
        <v>13604.05</v>
      </c>
      <c r="M11" s="252">
        <f t="shared" si="2"/>
        <v>1.8605229283227012</v>
      </c>
      <c r="N11" s="111">
        <f>E11-вересень!E11</f>
        <v>1300</v>
      </c>
      <c r="O11" s="179">
        <f>F11-вересень!F11</f>
        <v>915.6299999999974</v>
      </c>
      <c r="P11" s="112">
        <f t="shared" si="6"/>
        <v>-384.3700000000026</v>
      </c>
      <c r="Q11" s="198">
        <f t="shared" si="7"/>
        <v>70.43307692307673</v>
      </c>
      <c r="R11" s="42"/>
      <c r="S11" s="100"/>
      <c r="T11" s="186">
        <f t="shared" si="8"/>
        <v>185.0600000000013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6380.61</v>
      </c>
      <c r="F12" s="171">
        <v>7800.14</v>
      </c>
      <c r="G12" s="109">
        <f t="shared" si="0"/>
        <v>1419.5300000000007</v>
      </c>
      <c r="H12" s="32">
        <f t="shared" si="3"/>
        <v>122.24755940262766</v>
      </c>
      <c r="I12" s="110">
        <f t="shared" si="4"/>
        <v>1300.1400000000003</v>
      </c>
      <c r="J12" s="110">
        <f t="shared" si="5"/>
        <v>120.00215384615385</v>
      </c>
      <c r="K12" s="112">
        <v>4169.14</v>
      </c>
      <c r="L12" s="112">
        <f t="shared" si="1"/>
        <v>3631</v>
      </c>
      <c r="M12" s="252">
        <f t="shared" si="2"/>
        <v>1.8709230200952713</v>
      </c>
      <c r="N12" s="111">
        <f>E12-вересень!E12</f>
        <v>500</v>
      </c>
      <c r="O12" s="179">
        <f>F12-вересень!F12</f>
        <v>390.4200000000001</v>
      </c>
      <c r="P12" s="112">
        <f t="shared" si="6"/>
        <v>-109.57999999999993</v>
      </c>
      <c r="Q12" s="198">
        <f t="shared" si="7"/>
        <v>78.08400000000002</v>
      </c>
      <c r="R12" s="42"/>
      <c r="S12" s="100"/>
      <c r="T12" s="186">
        <f t="shared" si="8"/>
        <v>119.39000000000033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10314.84</v>
      </c>
      <c r="F13" s="171">
        <v>8113.37</v>
      </c>
      <c r="G13" s="109">
        <f t="shared" si="0"/>
        <v>-2201.4700000000003</v>
      </c>
      <c r="H13" s="32">
        <f t="shared" si="3"/>
        <v>78.65725498408118</v>
      </c>
      <c r="I13" s="110">
        <f t="shared" si="4"/>
        <v>-4286.63</v>
      </c>
      <c r="J13" s="110">
        <f t="shared" si="5"/>
        <v>65.43040322580646</v>
      </c>
      <c r="K13" s="112">
        <v>6098.87</v>
      </c>
      <c r="L13" s="112">
        <f t="shared" si="1"/>
        <v>2014.5</v>
      </c>
      <c r="M13" s="252">
        <f t="shared" si="2"/>
        <v>1.3303070896739888</v>
      </c>
      <c r="N13" s="111">
        <f>E13-вересень!E13</f>
        <v>650</v>
      </c>
      <c r="O13" s="179">
        <f>F13-вересень!F13</f>
        <v>602.1199999999999</v>
      </c>
      <c r="P13" s="112">
        <f t="shared" si="6"/>
        <v>-47.88000000000011</v>
      </c>
      <c r="Q13" s="198">
        <f t="shared" si="7"/>
        <v>92.63384615384614</v>
      </c>
      <c r="R13" s="42"/>
      <c r="S13" s="100"/>
      <c r="T13" s="186">
        <f t="shared" si="8"/>
        <v>2085.16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3463.04</v>
      </c>
      <c r="F14" s="171">
        <v>2727.86</v>
      </c>
      <c r="G14" s="109">
        <f t="shared" si="0"/>
        <v>-735.1799999999998</v>
      </c>
      <c r="H14" s="32">
        <f t="shared" si="3"/>
        <v>78.77067547588247</v>
      </c>
      <c r="I14" s="110">
        <f t="shared" si="4"/>
        <v>-752.1399999999999</v>
      </c>
      <c r="J14" s="110">
        <f t="shared" si="5"/>
        <v>78.38678160919541</v>
      </c>
      <c r="K14" s="112">
        <v>7562.97</v>
      </c>
      <c r="L14" s="112">
        <f t="shared" si="1"/>
        <v>-4835.110000000001</v>
      </c>
      <c r="M14" s="252">
        <f t="shared" si="2"/>
        <v>0.3606863441214232</v>
      </c>
      <c r="N14" s="111">
        <f>E14-вересень!E14</f>
        <v>15</v>
      </c>
      <c r="O14" s="179">
        <f>F14-вересень!F14</f>
        <v>88.95000000000027</v>
      </c>
      <c r="P14" s="112">
        <f t="shared" si="6"/>
        <v>73.95000000000027</v>
      </c>
      <c r="Q14" s="198">
        <f t="shared" si="7"/>
        <v>593.0000000000018</v>
      </c>
      <c r="R14" s="42"/>
      <c r="S14" s="100"/>
      <c r="T14" s="186">
        <f t="shared" si="8"/>
        <v>16.960000000000036</v>
      </c>
      <c r="U14" s="273">
        <v>2880</v>
      </c>
      <c r="V14" s="186">
        <f>U14-T14</f>
        <v>2863.04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380</v>
      </c>
      <c r="F15" s="196">
        <v>386.82</v>
      </c>
      <c r="G15" s="190">
        <f t="shared" si="0"/>
        <v>6.819999999999993</v>
      </c>
      <c r="H15" s="197">
        <f>F15/E15*100</f>
        <v>101.79473684210527</v>
      </c>
      <c r="I15" s="198">
        <f t="shared" si="4"/>
        <v>-113.18</v>
      </c>
      <c r="J15" s="198">
        <f t="shared" si="5"/>
        <v>77.364</v>
      </c>
      <c r="K15" s="201">
        <v>-590.87</v>
      </c>
      <c r="L15" s="201">
        <f t="shared" si="1"/>
        <v>977.69</v>
      </c>
      <c r="M15" s="253">
        <f t="shared" si="2"/>
        <v>-0.6546617699324725</v>
      </c>
      <c r="N15" s="197">
        <f>E15-вересень!E15</f>
        <v>10</v>
      </c>
      <c r="O15" s="200">
        <f>F15-вересень!F15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120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E16-вересень!E16</f>
        <v>0</v>
      </c>
      <c r="O16" s="200">
        <f>F16-вересень!F16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E17-вересень!E17</f>
        <v>0</v>
      </c>
      <c r="O17" s="200">
        <f>F17-вересень!F17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E18-вересень!E18</f>
        <v>0</v>
      </c>
      <c r="O18" s="200">
        <f>F18-вересень!F18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90960.4</v>
      </c>
      <c r="F19" s="196">
        <v>75097.16</v>
      </c>
      <c r="G19" s="190">
        <f t="shared" si="0"/>
        <v>-15863.23999999999</v>
      </c>
      <c r="H19" s="197">
        <f t="shared" si="3"/>
        <v>82.56027897854452</v>
      </c>
      <c r="I19" s="198">
        <f t="shared" si="4"/>
        <v>-34802.84</v>
      </c>
      <c r="J19" s="198">
        <f t="shared" si="5"/>
        <v>68.33226569608736</v>
      </c>
      <c r="K19" s="209">
        <v>58485.05</v>
      </c>
      <c r="L19" s="201">
        <f t="shared" si="1"/>
        <v>16612.11</v>
      </c>
      <c r="M19" s="259">
        <f t="shared" si="2"/>
        <v>1.2840402803793447</v>
      </c>
      <c r="N19" s="197">
        <f>E19-вересень!E19</f>
        <v>10900</v>
      </c>
      <c r="O19" s="200">
        <f>F19-вересень!F19</f>
        <v>744.3600000000006</v>
      </c>
      <c r="P19" s="201">
        <f t="shared" si="6"/>
        <v>-10155.64</v>
      </c>
      <c r="Q19" s="198">
        <f aca="true" t="shared" si="9" ref="Q19:Q24">O19/N19*100</f>
        <v>6.828990825688079</v>
      </c>
      <c r="R19" s="113"/>
      <c r="S19" s="114"/>
      <c r="T19" s="186">
        <f t="shared" si="8"/>
        <v>18939.600000000006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275106.06</v>
      </c>
      <c r="F20" s="272">
        <f>F21+F29+F30+F31+F32</f>
        <v>263870.37</v>
      </c>
      <c r="G20" s="190">
        <f t="shared" si="0"/>
        <v>-11235.690000000002</v>
      </c>
      <c r="H20" s="197">
        <f t="shared" si="3"/>
        <v>95.9158696831324</v>
      </c>
      <c r="I20" s="198">
        <f t="shared" si="4"/>
        <v>-52106.28000000003</v>
      </c>
      <c r="J20" s="198">
        <f t="shared" si="5"/>
        <v>83.50945235985</v>
      </c>
      <c r="K20" s="198">
        <v>182815.03</v>
      </c>
      <c r="L20" s="201">
        <f t="shared" si="1"/>
        <v>81055.34</v>
      </c>
      <c r="M20" s="254">
        <f t="shared" si="2"/>
        <v>1.4433735016207365</v>
      </c>
      <c r="N20" s="197">
        <f>N21+N30+N31+N32</f>
        <v>28870.120000000003</v>
      </c>
      <c r="O20" s="200">
        <f>F20-вересень!F20</f>
        <v>16003.700000000012</v>
      </c>
      <c r="P20" s="201">
        <f t="shared" si="6"/>
        <v>-12866.419999999991</v>
      </c>
      <c r="Q20" s="198">
        <f t="shared" si="9"/>
        <v>55.43343775502149</v>
      </c>
      <c r="R20" s="113"/>
      <c r="S20" s="114"/>
      <c r="T20" s="186">
        <f t="shared" si="8"/>
        <v>40870.590000000026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149443.41</v>
      </c>
      <c r="F21" s="211">
        <f>F22+F25+F26</f>
        <v>140429.53999999998</v>
      </c>
      <c r="G21" s="190">
        <f t="shared" si="0"/>
        <v>-9013.870000000024</v>
      </c>
      <c r="H21" s="197">
        <f t="shared" si="3"/>
        <v>93.96837237587123</v>
      </c>
      <c r="I21" s="198">
        <f t="shared" si="4"/>
        <v>-34470.110000000015</v>
      </c>
      <c r="J21" s="198">
        <f t="shared" si="5"/>
        <v>80.29149286462265</v>
      </c>
      <c r="K21" s="198">
        <v>100774.79</v>
      </c>
      <c r="L21" s="201">
        <f t="shared" si="1"/>
        <v>39654.749999999985</v>
      </c>
      <c r="M21" s="254">
        <f t="shared" si="2"/>
        <v>1.3934987113344517</v>
      </c>
      <c r="N21" s="197">
        <f>N22+N25+N26</f>
        <v>15362.620000000003</v>
      </c>
      <c r="O21" s="200">
        <f>F21-вересень!F21</f>
        <v>4613.729999999981</v>
      </c>
      <c r="P21" s="201">
        <f t="shared" si="6"/>
        <v>-10748.890000000021</v>
      </c>
      <c r="Q21" s="198">
        <f t="shared" si="9"/>
        <v>30.032182010620456</v>
      </c>
      <c r="R21" s="113"/>
      <c r="S21" s="114"/>
      <c r="T21" s="186">
        <f t="shared" si="8"/>
        <v>25456.23999999999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17324.4</v>
      </c>
      <c r="F22" s="213">
        <v>17193.44</v>
      </c>
      <c r="G22" s="212">
        <f t="shared" si="0"/>
        <v>-130.96000000000276</v>
      </c>
      <c r="H22" s="214">
        <f t="shared" si="3"/>
        <v>99.24407194477152</v>
      </c>
      <c r="I22" s="215">
        <f t="shared" si="4"/>
        <v>-1306.5600000000013</v>
      </c>
      <c r="J22" s="215">
        <f t="shared" si="5"/>
        <v>92.93751351351351</v>
      </c>
      <c r="K22" s="216">
        <v>12486.13</v>
      </c>
      <c r="L22" s="206">
        <f t="shared" si="1"/>
        <v>4707.3099999999995</v>
      </c>
      <c r="M22" s="262">
        <f t="shared" si="2"/>
        <v>1.3770031226649089</v>
      </c>
      <c r="N22" s="214">
        <f>E22-вересень!E22</f>
        <v>2199.920000000002</v>
      </c>
      <c r="O22" s="217">
        <f>F22-вересень!F22</f>
        <v>1434.619999999999</v>
      </c>
      <c r="P22" s="218">
        <f t="shared" si="6"/>
        <v>-765.3000000000029</v>
      </c>
      <c r="Q22" s="215">
        <f t="shared" si="9"/>
        <v>65.2123713589584</v>
      </c>
      <c r="R22" s="113"/>
      <c r="S22" s="114"/>
      <c r="T22" s="186">
        <f t="shared" si="8"/>
        <v>1175.5999999999985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1224.4</v>
      </c>
      <c r="F23" s="203">
        <v>699.96</v>
      </c>
      <c r="G23" s="241">
        <f t="shared" si="0"/>
        <v>-524.44</v>
      </c>
      <c r="H23" s="242">
        <f t="shared" si="3"/>
        <v>57.167592290101275</v>
      </c>
      <c r="I23" s="243">
        <f t="shared" si="4"/>
        <v>-1300.04</v>
      </c>
      <c r="J23" s="243">
        <f t="shared" si="5"/>
        <v>34.998000000000005</v>
      </c>
      <c r="K23" s="261">
        <v>666.58</v>
      </c>
      <c r="L23" s="261">
        <f t="shared" si="1"/>
        <v>33.379999999999995</v>
      </c>
      <c r="M23" s="263">
        <f t="shared" si="2"/>
        <v>1.050076509946293</v>
      </c>
      <c r="N23" s="239">
        <f>E23-вересень!E23</f>
        <v>200</v>
      </c>
      <c r="O23" s="239">
        <f>F23-вересень!F23</f>
        <v>31.110000000000014</v>
      </c>
      <c r="P23" s="240">
        <f t="shared" si="6"/>
        <v>-168.89</v>
      </c>
      <c r="Q23" s="240">
        <f t="shared" si="9"/>
        <v>15.555000000000007</v>
      </c>
      <c r="R23" s="113"/>
      <c r="S23" s="114"/>
      <c r="T23" s="186">
        <f t="shared" si="8"/>
        <v>775.5999999999999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16100</v>
      </c>
      <c r="F24" s="203">
        <v>16493.49</v>
      </c>
      <c r="G24" s="241">
        <f t="shared" si="0"/>
        <v>393.4900000000016</v>
      </c>
      <c r="H24" s="242">
        <f t="shared" si="3"/>
        <v>102.44403726708076</v>
      </c>
      <c r="I24" s="243">
        <f t="shared" si="4"/>
        <v>-6.509999999998399</v>
      </c>
      <c r="J24" s="243">
        <f t="shared" si="5"/>
        <v>99.96054545454547</v>
      </c>
      <c r="K24" s="261">
        <v>11819.55</v>
      </c>
      <c r="L24" s="261">
        <f t="shared" si="1"/>
        <v>4673.940000000002</v>
      </c>
      <c r="M24" s="263">
        <f t="shared" si="2"/>
        <v>1.3954414508166557</v>
      </c>
      <c r="N24" s="239">
        <f>E24-вересень!E24</f>
        <v>1999.92</v>
      </c>
      <c r="O24" s="239">
        <f>F24-вересень!F24</f>
        <v>1403.5200000000023</v>
      </c>
      <c r="P24" s="240">
        <f t="shared" si="6"/>
        <v>-596.3999999999978</v>
      </c>
      <c r="Q24" s="240">
        <f t="shared" si="9"/>
        <v>70.17880715228621</v>
      </c>
      <c r="R24" s="113"/>
      <c r="S24" s="114"/>
      <c r="T24" s="186">
        <f t="shared" si="8"/>
        <v>400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789.45</v>
      </c>
      <c r="G25" s="212">
        <f t="shared" si="0"/>
        <v>-190.58999999999992</v>
      </c>
      <c r="H25" s="214">
        <f t="shared" si="3"/>
        <v>80.5528345781805</v>
      </c>
      <c r="I25" s="215">
        <f t="shared" si="4"/>
        <v>-210.54999999999995</v>
      </c>
      <c r="J25" s="215">
        <f t="shared" si="5"/>
        <v>78.94500000000001</v>
      </c>
      <c r="K25" s="215">
        <v>3493.96</v>
      </c>
      <c r="L25" s="215">
        <f t="shared" si="1"/>
        <v>-2704.51</v>
      </c>
      <c r="M25" s="257">
        <f t="shared" si="2"/>
        <v>0.22594706293145886</v>
      </c>
      <c r="N25" s="214">
        <f>E25-вересень!E25</f>
        <v>52.69999999999993</v>
      </c>
      <c r="O25" s="217">
        <f>F25-вересень!F25</f>
        <v>12.110000000000014</v>
      </c>
      <c r="P25" s="218">
        <f t="shared" si="6"/>
        <v>-40.58999999999992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131138.97</v>
      </c>
      <c r="F26" s="213">
        <v>122446.65</v>
      </c>
      <c r="G26" s="212">
        <f t="shared" si="0"/>
        <v>-8692.320000000007</v>
      </c>
      <c r="H26" s="214">
        <f t="shared" si="3"/>
        <v>93.37167281396216</v>
      </c>
      <c r="I26" s="215">
        <f t="shared" si="4"/>
        <v>-32953</v>
      </c>
      <c r="J26" s="215">
        <f t="shared" si="5"/>
        <v>78.79467553498351</v>
      </c>
      <c r="K26" s="216">
        <v>84794.7</v>
      </c>
      <c r="L26" s="216">
        <f t="shared" si="1"/>
        <v>37651.95</v>
      </c>
      <c r="M26" s="256">
        <f t="shared" si="2"/>
        <v>1.4440365966269118</v>
      </c>
      <c r="N26" s="214">
        <f>E26-вересень!E26</f>
        <v>13110</v>
      </c>
      <c r="O26" s="217">
        <f>F26-вересень!F26</f>
        <v>3167</v>
      </c>
      <c r="P26" s="218">
        <f t="shared" si="6"/>
        <v>-9943</v>
      </c>
      <c r="Q26" s="215">
        <f>O26/N26*100</f>
        <v>24.15713196033562</v>
      </c>
      <c r="R26" s="113"/>
      <c r="S26" s="114"/>
      <c r="T26" s="186">
        <f t="shared" si="8"/>
        <v>24260.679999999993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40401.8</v>
      </c>
      <c r="F27" s="203">
        <v>38695.34</v>
      </c>
      <c r="G27" s="241">
        <f t="shared" si="0"/>
        <v>-1706.4600000000064</v>
      </c>
      <c r="H27" s="242">
        <f t="shared" si="3"/>
        <v>95.77627729457598</v>
      </c>
      <c r="I27" s="243">
        <f t="shared" si="4"/>
        <v>-8671.660000000003</v>
      </c>
      <c r="J27" s="243">
        <f t="shared" si="5"/>
        <v>81.69261300061224</v>
      </c>
      <c r="K27" s="261">
        <v>22986.34</v>
      </c>
      <c r="L27" s="261">
        <f t="shared" si="1"/>
        <v>15708.999999999996</v>
      </c>
      <c r="M27" s="263">
        <f t="shared" si="2"/>
        <v>1.6834058836683001</v>
      </c>
      <c r="N27" s="239">
        <f>E27-вересень!E27</f>
        <v>3520</v>
      </c>
      <c r="O27" s="239">
        <f>F27-вересень!F27</f>
        <v>699.2199999999939</v>
      </c>
      <c r="P27" s="240">
        <f t="shared" si="6"/>
        <v>-2820.780000000006</v>
      </c>
      <c r="Q27" s="240">
        <f>O27/N27*100</f>
        <v>19.864204545454374</v>
      </c>
      <c r="R27" s="113"/>
      <c r="S27" s="114"/>
      <c r="T27" s="186">
        <f t="shared" si="8"/>
        <v>6965.199999999997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90737.17</v>
      </c>
      <c r="F28" s="203">
        <v>83751.3</v>
      </c>
      <c r="G28" s="241">
        <f t="shared" si="0"/>
        <v>-6985.869999999995</v>
      </c>
      <c r="H28" s="242">
        <f t="shared" si="3"/>
        <v>92.30098315828013</v>
      </c>
      <c r="I28" s="243">
        <f t="shared" si="4"/>
        <v>-24281.34999999999</v>
      </c>
      <c r="J28" s="243">
        <f t="shared" si="5"/>
        <v>77.52406332715157</v>
      </c>
      <c r="K28" s="261">
        <v>61808.36</v>
      </c>
      <c r="L28" s="261">
        <f t="shared" si="1"/>
        <v>21942.940000000002</v>
      </c>
      <c r="M28" s="263">
        <f t="shared" si="2"/>
        <v>1.3550157292638083</v>
      </c>
      <c r="N28" s="239">
        <f>E28-вересень!E28</f>
        <v>9590</v>
      </c>
      <c r="O28" s="239">
        <f>F28-вересень!F28</f>
        <v>2467.779999999999</v>
      </c>
      <c r="P28" s="240">
        <f t="shared" si="6"/>
        <v>-7122.220000000001</v>
      </c>
      <c r="Q28" s="240">
        <f>O28/N28*100</f>
        <v>25.732846715328456</v>
      </c>
      <c r="R28" s="113"/>
      <c r="S28" s="114"/>
      <c r="T28" s="186">
        <f t="shared" si="8"/>
        <v>17295.479999999996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E29-вересень!E29</f>
        <v>0</v>
      </c>
      <c r="O29" s="200">
        <f>F29-вересень!F29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62.81</v>
      </c>
      <c r="F30" s="196">
        <v>90.45</v>
      </c>
      <c r="G30" s="190">
        <f t="shared" si="0"/>
        <v>27.64</v>
      </c>
      <c r="H30" s="197">
        <f t="shared" si="3"/>
        <v>144.00573157140585</v>
      </c>
      <c r="I30" s="198">
        <f t="shared" si="4"/>
        <v>13.450000000000003</v>
      </c>
      <c r="J30" s="198">
        <f t="shared" si="5"/>
        <v>117.46753246753248</v>
      </c>
      <c r="K30" s="198">
        <v>60.64</v>
      </c>
      <c r="L30" s="198">
        <f t="shared" si="1"/>
        <v>29.810000000000002</v>
      </c>
      <c r="M30" s="255">
        <f>F30/K30</f>
        <v>1.491589709762533</v>
      </c>
      <c r="N30" s="197">
        <f>E30-вересень!E30</f>
        <v>7.5</v>
      </c>
      <c r="O30" s="200">
        <f>F30-вересень!F30</f>
        <v>2.5</v>
      </c>
      <c r="P30" s="201">
        <f t="shared" si="6"/>
        <v>-5</v>
      </c>
      <c r="Q30" s="198">
        <f>O30/N30*100</f>
        <v>33.33333333333333</v>
      </c>
      <c r="R30" s="113"/>
      <c r="S30" s="114"/>
      <c r="T30" s="186">
        <f t="shared" si="8"/>
        <v>14.189999999999998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-160.38</v>
      </c>
      <c r="G31" s="190">
        <f t="shared" si="0"/>
        <v>-160.38</v>
      </c>
      <c r="H31" s="197"/>
      <c r="I31" s="198">
        <f t="shared" si="4"/>
        <v>-160.38</v>
      </c>
      <c r="J31" s="198"/>
      <c r="K31" s="198">
        <v>-740.94</v>
      </c>
      <c r="L31" s="198">
        <f t="shared" si="1"/>
        <v>580.5600000000001</v>
      </c>
      <c r="M31" s="255">
        <f>F31/K31</f>
        <v>0.21645477366588387</v>
      </c>
      <c r="N31" s="197">
        <f>E31-вересень!E31</f>
        <v>0</v>
      </c>
      <c r="O31" s="200">
        <f>F31-вересень!F31</f>
        <v>-0.28000000000000114</v>
      </c>
      <c r="P31" s="201">
        <f t="shared" si="6"/>
        <v>-0.28000000000000114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125599.84</v>
      </c>
      <c r="F32" s="203">
        <v>123510.61</v>
      </c>
      <c r="G32" s="202">
        <f t="shared" si="0"/>
        <v>-2089.229999999996</v>
      </c>
      <c r="H32" s="204">
        <f t="shared" si="3"/>
        <v>98.33659819948815</v>
      </c>
      <c r="I32" s="205">
        <f t="shared" si="4"/>
        <v>-17489.39</v>
      </c>
      <c r="J32" s="205">
        <f t="shared" si="5"/>
        <v>87.59617730496454</v>
      </c>
      <c r="K32" s="219">
        <v>82720.54</v>
      </c>
      <c r="L32" s="219">
        <f>F32-K32</f>
        <v>40790.07000000001</v>
      </c>
      <c r="M32" s="411">
        <f>F32/K32</f>
        <v>1.4931069115361193</v>
      </c>
      <c r="N32" s="197">
        <f>E32-вересень!E32</f>
        <v>13500</v>
      </c>
      <c r="O32" s="200">
        <f>F32-вересень!F32</f>
        <v>11387.75</v>
      </c>
      <c r="P32" s="207">
        <f t="shared" si="6"/>
        <v>-2112.25</v>
      </c>
      <c r="Q32" s="205">
        <f>O32/N32*100</f>
        <v>84.35370370370372</v>
      </c>
      <c r="R32" s="113"/>
      <c r="S32" s="114"/>
      <c r="T32" s="186">
        <f t="shared" si="8"/>
        <v>15400.160000000003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E33-вересень!E33</f>
        <v>0</v>
      </c>
      <c r="O33" s="179">
        <f>F33-вересень!F33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30662.97</v>
      </c>
      <c r="F34" s="171">
        <v>30150.89</v>
      </c>
      <c r="G34" s="109">
        <f t="shared" si="0"/>
        <v>-512.0800000000017</v>
      </c>
      <c r="H34" s="111">
        <f t="shared" si="3"/>
        <v>98.32997260213214</v>
      </c>
      <c r="I34" s="110">
        <f t="shared" si="4"/>
        <v>-4066.1100000000006</v>
      </c>
      <c r="J34" s="110">
        <f t="shared" si="5"/>
        <v>88.1166963789929</v>
      </c>
      <c r="K34" s="142">
        <v>19963.33</v>
      </c>
      <c r="L34" s="142">
        <f t="shared" si="1"/>
        <v>10187.559999999998</v>
      </c>
      <c r="M34" s="264">
        <f t="shared" si="10"/>
        <v>1.5103136600957854</v>
      </c>
      <c r="N34" s="111">
        <f>E34-вересень!E34</f>
        <v>2300</v>
      </c>
      <c r="O34" s="179">
        <f>F34-вересень!F34</f>
        <v>1810.4799999999996</v>
      </c>
      <c r="P34" s="112">
        <f t="shared" si="6"/>
        <v>-489.52000000000044</v>
      </c>
      <c r="Q34" s="110">
        <f>O34/N34*100</f>
        <v>78.71652173913041</v>
      </c>
      <c r="R34" s="113"/>
      <c r="S34" s="114"/>
      <c r="T34" s="186">
        <f t="shared" si="8"/>
        <v>3554.029999999999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94920.08</v>
      </c>
      <c r="F35" s="171">
        <v>93333.07</v>
      </c>
      <c r="G35" s="109">
        <f t="shared" si="0"/>
        <v>-1587.0099999999948</v>
      </c>
      <c r="H35" s="111">
        <f t="shared" si="3"/>
        <v>98.32805661352161</v>
      </c>
      <c r="I35" s="110">
        <f t="shared" si="4"/>
        <v>-13398.929999999993</v>
      </c>
      <c r="J35" s="110">
        <f t="shared" si="5"/>
        <v>87.44619233219653</v>
      </c>
      <c r="K35" s="142">
        <v>62729.49</v>
      </c>
      <c r="L35" s="142">
        <f t="shared" si="1"/>
        <v>30603.58000000001</v>
      </c>
      <c r="M35" s="264">
        <f t="shared" si="10"/>
        <v>1.4878659144207933</v>
      </c>
      <c r="N35" s="111">
        <f>E35-вересень!E35</f>
        <v>11200</v>
      </c>
      <c r="O35" s="179">
        <f>F35-вересень!F35</f>
        <v>9577.270000000004</v>
      </c>
      <c r="P35" s="112">
        <f t="shared" si="6"/>
        <v>-1622.729999999996</v>
      </c>
      <c r="Q35" s="110">
        <f>O35/N35*100</f>
        <v>85.51133928571433</v>
      </c>
      <c r="R35" s="113"/>
      <c r="S35" s="114"/>
      <c r="T35" s="186">
        <f t="shared" si="8"/>
        <v>11811.919999999998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28.89</v>
      </c>
      <c r="L36" s="142">
        <f t="shared" si="1"/>
        <v>-2.469999999999999</v>
      </c>
      <c r="M36" s="264">
        <f t="shared" si="10"/>
        <v>0.9145032883350641</v>
      </c>
      <c r="N36" s="111">
        <f>E36-вересень!E36</f>
        <v>0</v>
      </c>
      <c r="O36" s="179">
        <f>F36-вересень!F36</f>
        <v>0</v>
      </c>
      <c r="P36" s="112">
        <f t="shared" si="6"/>
        <v>0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5585.75</v>
      </c>
      <c r="L37" s="132">
        <f t="shared" si="1"/>
        <v>-5585.75</v>
      </c>
      <c r="M37" s="265">
        <f t="shared" si="10"/>
        <v>0</v>
      </c>
      <c r="N37" s="152">
        <f>E37-вересень!E37</f>
        <v>0</v>
      </c>
      <c r="O37" s="180">
        <f>F37-вересень!F37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55295.03</v>
      </c>
      <c r="F38" s="191">
        <f>F39+F40+F41+F42+F43+F45+F47+F48+F49+F50+F51+F56+F57+F61+F44</f>
        <v>54466.39</v>
      </c>
      <c r="G38" s="191">
        <f>G39+G40+G41+G42+G43+G45+G47+G48+G49+G50+G51+G56+G57+G61</f>
        <v>-855.79</v>
      </c>
      <c r="H38" s="192">
        <f>F38/E38*100</f>
        <v>98.50142047124308</v>
      </c>
      <c r="I38" s="193">
        <f>F38-D38</f>
        <v>-7376.090000000004</v>
      </c>
      <c r="J38" s="193">
        <f>F38/D38*100</f>
        <v>88.07277780580597</v>
      </c>
      <c r="K38" s="191">
        <v>35081.67</v>
      </c>
      <c r="L38" s="191">
        <f t="shared" si="1"/>
        <v>19384.72</v>
      </c>
      <c r="M38" s="250">
        <f t="shared" si="10"/>
        <v>1.5525597840695726</v>
      </c>
      <c r="N38" s="191">
        <f>N39+N40+N41+N42+N43+N45+N47+N48+N49+N50+N51+N56+N57+N61+N44</f>
        <v>6170</v>
      </c>
      <c r="O38" s="191">
        <f>O39+O40+O41+O42+O43+O45+O47+O48+O49+O50+O51+O56+O57+O61+O44</f>
        <v>5019.499999999998</v>
      </c>
      <c r="P38" s="191">
        <f>P39+P40+P41+P42+P43+P45+P47+P48+P49+P50+P51+P56+P57+P61</f>
        <v>-1150.5000000000018</v>
      </c>
      <c r="Q38" s="191">
        <f>O38/N38*100</f>
        <v>81.35332252836301</v>
      </c>
      <c r="R38" s="15" t="e">
        <f>#N/A</f>
        <v>#N/A</v>
      </c>
      <c r="S38" s="15" t="e">
        <f>#N/A</f>
        <v>#N/A</v>
      </c>
      <c r="T38" s="186">
        <f t="shared" si="8"/>
        <v>6547.450000000004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386</v>
      </c>
      <c r="F39" s="196">
        <v>420.89</v>
      </c>
      <c r="G39" s="202">
        <f>F39-E39</f>
        <v>34.889999999999986</v>
      </c>
      <c r="H39" s="204">
        <f aca="true" t="shared" si="11" ref="H39:H62">F39/E39*100</f>
        <v>109.03886010362693</v>
      </c>
      <c r="I39" s="205">
        <f>F39-D39</f>
        <v>20.889999999999986</v>
      </c>
      <c r="J39" s="205">
        <f>F39/D39*100</f>
        <v>105.2225</v>
      </c>
      <c r="K39" s="205">
        <v>-57.79</v>
      </c>
      <c r="L39" s="205">
        <f t="shared" si="1"/>
        <v>478.68</v>
      </c>
      <c r="M39" s="266">
        <f t="shared" si="10"/>
        <v>-7.283093960892888</v>
      </c>
      <c r="N39" s="204">
        <f>E39-вересень!E39</f>
        <v>3</v>
      </c>
      <c r="O39" s="208">
        <f>F39-вересень!F39</f>
        <v>0.009999999999990905</v>
      </c>
      <c r="P39" s="207">
        <f>O39-N39</f>
        <v>-2.990000000000009</v>
      </c>
      <c r="Q39" s="205">
        <f aca="true" t="shared" si="12" ref="Q39:Q62">O39/N39*100</f>
        <v>0.33333333333303017</v>
      </c>
      <c r="R39" s="42"/>
      <c r="S39" s="100"/>
      <c r="T39" s="186">
        <f t="shared" si="8"/>
        <v>14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27766</v>
      </c>
      <c r="F40" s="196">
        <v>27670.12</v>
      </c>
      <c r="G40" s="202">
        <f aca="true" t="shared" si="13" ref="G40:G63">F40-E40</f>
        <v>-95.88000000000102</v>
      </c>
      <c r="H40" s="204">
        <f t="shared" si="11"/>
        <v>99.65468558668876</v>
      </c>
      <c r="I40" s="205">
        <f aca="true" t="shared" si="14" ref="I40:I63">F40-D40</f>
        <v>-2336.880000000001</v>
      </c>
      <c r="J40" s="205">
        <f>F40/D40*100</f>
        <v>92.21221714933182</v>
      </c>
      <c r="K40" s="205">
        <v>8434.93</v>
      </c>
      <c r="L40" s="205">
        <f t="shared" si="1"/>
        <v>19235.19</v>
      </c>
      <c r="M40" s="266"/>
      <c r="N40" s="204">
        <f>E40-вересень!E40</f>
        <v>3600</v>
      </c>
      <c r="O40" s="208">
        <f>F40-вересень!F40</f>
        <v>3503.989999999998</v>
      </c>
      <c r="P40" s="207">
        <f aca="true" t="shared" si="15" ref="P40:P63">O40-N40</f>
        <v>-96.01000000000204</v>
      </c>
      <c r="Q40" s="205">
        <f t="shared" si="12"/>
        <v>97.3330555555555</v>
      </c>
      <c r="R40" s="42"/>
      <c r="S40" s="100"/>
      <c r="T40" s="186">
        <f t="shared" si="8"/>
        <v>2241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349.81</v>
      </c>
      <c r="L41" s="205">
        <f t="shared" si="1"/>
        <v>-317.83</v>
      </c>
      <c r="M41" s="266">
        <f aca="true" t="shared" si="17" ref="M41:M63">F41/K41</f>
        <v>0.09142105714530745</v>
      </c>
      <c r="N41" s="204">
        <f>E41-вересень!E41</f>
        <v>0</v>
      </c>
      <c r="O41" s="208">
        <f>F41-вересень!F41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E42-вересень!E42</f>
        <v>0</v>
      </c>
      <c r="O42" s="208">
        <f>F42-вересень!F42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100</v>
      </c>
      <c r="F43" s="196">
        <v>204.97</v>
      </c>
      <c r="G43" s="202">
        <f t="shared" si="13"/>
        <v>104.97</v>
      </c>
      <c r="H43" s="204">
        <f t="shared" si="11"/>
        <v>204.97</v>
      </c>
      <c r="I43" s="205">
        <f t="shared" si="14"/>
        <v>54.97</v>
      </c>
      <c r="J43" s="205">
        <f t="shared" si="16"/>
        <v>136.64666666666668</v>
      </c>
      <c r="K43" s="205">
        <v>255.87</v>
      </c>
      <c r="L43" s="205">
        <f t="shared" si="1"/>
        <v>-50.900000000000006</v>
      </c>
      <c r="M43" s="266">
        <f t="shared" si="17"/>
        <v>0.8010708562942119</v>
      </c>
      <c r="N43" s="204">
        <f>E43-вересень!E43</f>
        <v>10</v>
      </c>
      <c r="O43" s="208">
        <f>F43-вересень!F43</f>
        <v>7.849999999999994</v>
      </c>
      <c r="P43" s="207">
        <f t="shared" si="15"/>
        <v>-2.1500000000000057</v>
      </c>
      <c r="Q43" s="205">
        <f t="shared" si="12"/>
        <v>78.49999999999994</v>
      </c>
      <c r="R43" s="42"/>
      <c r="S43" s="100"/>
      <c r="T43" s="186">
        <f t="shared" si="8"/>
        <v>50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0</v>
      </c>
      <c r="L44" s="205">
        <f t="shared" si="1"/>
        <v>41.15</v>
      </c>
      <c r="M44" s="266" t="e">
        <f t="shared" si="17"/>
        <v>#DIV/0!</v>
      </c>
      <c r="N44" s="204">
        <f>E44-вересень!E44</f>
        <v>0</v>
      </c>
      <c r="O44" s="208">
        <f>F44-вересень!F44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272</v>
      </c>
      <c r="F45" s="196">
        <v>490.35</v>
      </c>
      <c r="G45" s="202">
        <f t="shared" si="13"/>
        <v>218.35000000000002</v>
      </c>
      <c r="H45" s="204">
        <f t="shared" si="11"/>
        <v>180.27573529411765</v>
      </c>
      <c r="I45" s="205">
        <f t="shared" si="14"/>
        <v>190.35000000000002</v>
      </c>
      <c r="J45" s="205">
        <f t="shared" si="16"/>
        <v>163.45000000000002</v>
      </c>
      <c r="K45" s="205">
        <v>0</v>
      </c>
      <c r="L45" s="205">
        <f t="shared" si="1"/>
        <v>490.35</v>
      </c>
      <c r="M45" s="266"/>
      <c r="N45" s="204">
        <f>E45-вересень!E45</f>
        <v>8</v>
      </c>
      <c r="O45" s="208">
        <f>F45-вересень!F45</f>
        <v>61.72000000000003</v>
      </c>
      <c r="P45" s="207">
        <f t="shared" si="15"/>
        <v>53.72000000000003</v>
      </c>
      <c r="Q45" s="205">
        <f t="shared" si="12"/>
        <v>771.5000000000003</v>
      </c>
      <c r="R45" s="42"/>
      <c r="S45" s="100"/>
      <c r="T45" s="186">
        <f t="shared" si="8"/>
        <v>28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E46-вересень!E46</f>
        <v>0</v>
      </c>
      <c r="O46" s="208">
        <f>F46-вересень!F46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8749.02</v>
      </c>
      <c r="F47" s="196">
        <v>8536.93</v>
      </c>
      <c r="G47" s="202">
        <f t="shared" si="13"/>
        <v>-212.09000000000015</v>
      </c>
      <c r="H47" s="204">
        <f t="shared" si="11"/>
        <v>97.57584278010566</v>
      </c>
      <c r="I47" s="205">
        <f t="shared" si="14"/>
        <v>-1363.0699999999997</v>
      </c>
      <c r="J47" s="205">
        <f t="shared" si="16"/>
        <v>86.23161616161616</v>
      </c>
      <c r="K47" s="205">
        <v>8383.7</v>
      </c>
      <c r="L47" s="205">
        <f t="shared" si="1"/>
        <v>153.22999999999956</v>
      </c>
      <c r="M47" s="266">
        <f t="shared" si="17"/>
        <v>1.018277133008099</v>
      </c>
      <c r="N47" s="204">
        <f>E47-вересень!E47</f>
        <v>900</v>
      </c>
      <c r="O47" s="208">
        <f>F47-вересень!F47</f>
        <v>469.1900000000005</v>
      </c>
      <c r="P47" s="207">
        <f t="shared" si="15"/>
        <v>-430.8099999999995</v>
      </c>
      <c r="Q47" s="205">
        <f t="shared" si="12"/>
        <v>52.13222222222228</v>
      </c>
      <c r="R47" s="42"/>
      <c r="S47" s="100"/>
      <c r="T47" s="186">
        <f t="shared" si="8"/>
        <v>1150.9799999999996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232.51</v>
      </c>
      <c r="G48" s="202">
        <f t="shared" si="13"/>
        <v>-417.49</v>
      </c>
      <c r="H48" s="204">
        <f t="shared" si="11"/>
        <v>35.770769230769226</v>
      </c>
      <c r="I48" s="205">
        <f t="shared" si="14"/>
        <v>-417.49</v>
      </c>
      <c r="J48" s="205">
        <f t="shared" si="16"/>
        <v>35.770769230769226</v>
      </c>
      <c r="K48" s="205">
        <v>0</v>
      </c>
      <c r="L48" s="205">
        <f t="shared" si="1"/>
        <v>232.51</v>
      </c>
      <c r="M48" s="266"/>
      <c r="N48" s="204">
        <f>E48-вересень!E48</f>
        <v>0</v>
      </c>
      <c r="O48" s="208">
        <f>F48-вересень!F48</f>
        <v>22.389999999999986</v>
      </c>
      <c r="P48" s="207">
        <f t="shared" si="15"/>
        <v>22.389999999999986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36</v>
      </c>
      <c r="F49" s="196">
        <v>16.96</v>
      </c>
      <c r="G49" s="202">
        <f t="shared" si="13"/>
        <v>-19.04</v>
      </c>
      <c r="H49" s="204">
        <f t="shared" si="11"/>
        <v>47.111111111111114</v>
      </c>
      <c r="I49" s="205">
        <f t="shared" si="14"/>
        <v>-33.04</v>
      </c>
      <c r="J49" s="205">
        <f t="shared" si="16"/>
        <v>33.92</v>
      </c>
      <c r="K49" s="205">
        <v>0</v>
      </c>
      <c r="L49" s="205">
        <f t="shared" si="1"/>
        <v>16.96</v>
      </c>
      <c r="M49" s="266"/>
      <c r="N49" s="204">
        <f>E49-вересень!E49</f>
        <v>4</v>
      </c>
      <c r="O49" s="208">
        <f>F49-вересень!F49</f>
        <v>0.28000000000000114</v>
      </c>
      <c r="P49" s="207">
        <f t="shared" si="15"/>
        <v>-3.719999999999999</v>
      </c>
      <c r="Q49" s="205">
        <f t="shared" si="12"/>
        <v>7.000000000000028</v>
      </c>
      <c r="R49" s="42"/>
      <c r="S49" s="100"/>
      <c r="T49" s="186">
        <f t="shared" si="8"/>
        <v>14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6566.23</v>
      </c>
      <c r="F50" s="196">
        <v>6193.94</v>
      </c>
      <c r="G50" s="202">
        <f t="shared" si="13"/>
        <v>-372.28999999999996</v>
      </c>
      <c r="H50" s="204">
        <f t="shared" si="11"/>
        <v>94.33023211188156</v>
      </c>
      <c r="I50" s="205">
        <f t="shared" si="14"/>
        <v>-1806.0600000000004</v>
      </c>
      <c r="J50" s="205">
        <f t="shared" si="16"/>
        <v>77.42425</v>
      </c>
      <c r="K50" s="205">
        <v>7492.82</v>
      </c>
      <c r="L50" s="205">
        <f t="shared" si="1"/>
        <v>-1298.88</v>
      </c>
      <c r="M50" s="266">
        <f t="shared" si="17"/>
        <v>0.8266500463110017</v>
      </c>
      <c r="N50" s="204">
        <f>E50-вересень!E50</f>
        <v>650</v>
      </c>
      <c r="O50" s="208">
        <f>F50-вересень!F50</f>
        <v>568.7199999999993</v>
      </c>
      <c r="P50" s="207">
        <f t="shared" si="15"/>
        <v>-81.28000000000065</v>
      </c>
      <c r="Q50" s="205">
        <f t="shared" si="12"/>
        <v>87.49538461538452</v>
      </c>
      <c r="R50" s="42"/>
      <c r="S50" s="100"/>
      <c r="T50" s="186">
        <f t="shared" si="8"/>
        <v>1433.7700000000004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5466.19</v>
      </c>
      <c r="F51" s="196">
        <v>4985.96</v>
      </c>
      <c r="G51" s="202">
        <f t="shared" si="13"/>
        <v>-480.22999999999956</v>
      </c>
      <c r="H51" s="204">
        <f t="shared" si="11"/>
        <v>91.21453882869056</v>
      </c>
      <c r="I51" s="205">
        <f t="shared" si="14"/>
        <v>-2014.08</v>
      </c>
      <c r="J51" s="205">
        <f t="shared" si="16"/>
        <v>71.22759298518294</v>
      </c>
      <c r="K51" s="205">
        <v>6187.55</v>
      </c>
      <c r="L51" s="205">
        <f t="shared" si="1"/>
        <v>-1201.5900000000001</v>
      </c>
      <c r="M51" s="266">
        <f t="shared" si="17"/>
        <v>0.8058052056145001</v>
      </c>
      <c r="N51" s="204">
        <f>E51-вересень!E51</f>
        <v>555</v>
      </c>
      <c r="O51" s="208">
        <f>F51-вересень!F51</f>
        <v>60.340000000000146</v>
      </c>
      <c r="P51" s="207">
        <f t="shared" si="15"/>
        <v>-494.65999999999985</v>
      </c>
      <c r="Q51" s="205">
        <f t="shared" si="12"/>
        <v>10.872072072072099</v>
      </c>
      <c r="R51" s="42"/>
      <c r="S51" s="100"/>
      <c r="T51" s="186">
        <f t="shared" si="8"/>
        <v>1533.8500000000004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738.99</v>
      </c>
      <c r="F52" s="171">
        <v>681.13</v>
      </c>
      <c r="G52" s="36">
        <f t="shared" si="13"/>
        <v>-57.860000000000014</v>
      </c>
      <c r="H52" s="32">
        <f t="shared" si="11"/>
        <v>92.17039472793948</v>
      </c>
      <c r="I52" s="110">
        <f t="shared" si="14"/>
        <v>-288.87</v>
      </c>
      <c r="J52" s="110">
        <f t="shared" si="16"/>
        <v>70.21958762886598</v>
      </c>
      <c r="K52" s="110">
        <v>883.77</v>
      </c>
      <c r="L52" s="110">
        <f>F52-K52</f>
        <v>-202.64</v>
      </c>
      <c r="M52" s="115">
        <f t="shared" si="17"/>
        <v>0.7707095737578782</v>
      </c>
      <c r="N52" s="111">
        <f>E52-вересень!E52</f>
        <v>55</v>
      </c>
      <c r="O52" s="179">
        <f>F52-вересень!F52</f>
        <v>38.01999999999998</v>
      </c>
      <c r="P52" s="112">
        <f t="shared" si="15"/>
        <v>-16.980000000000018</v>
      </c>
      <c r="Q52" s="132">
        <f t="shared" si="12"/>
        <v>69.1272727272727</v>
      </c>
      <c r="R52" s="42"/>
      <c r="S52" s="100"/>
      <c r="T52" s="186">
        <f t="shared" si="8"/>
        <v>231.01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44.11</v>
      </c>
      <c r="L53" s="110">
        <f>F53-K53</f>
        <v>-43.82</v>
      </c>
      <c r="M53" s="115">
        <f t="shared" si="17"/>
        <v>0.0065744729086374964</v>
      </c>
      <c r="N53" s="111">
        <f>E53-вересень!E53</f>
        <v>0</v>
      </c>
      <c r="O53" s="179">
        <f>F53-вересень!F53</f>
        <v>0.019999999999999962</v>
      </c>
      <c r="P53" s="112">
        <f t="shared" si="15"/>
        <v>0.019999999999999962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E54-вересень!E54</f>
        <v>0</v>
      </c>
      <c r="O54" s="179">
        <f>F54-вересень!F54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4722.17</v>
      </c>
      <c r="F55" s="171">
        <v>4304.53</v>
      </c>
      <c r="G55" s="36">
        <f t="shared" si="13"/>
        <v>-417.6400000000003</v>
      </c>
      <c r="H55" s="32">
        <f t="shared" si="11"/>
        <v>91.15576101665124</v>
      </c>
      <c r="I55" s="110">
        <f t="shared" si="14"/>
        <v>-1719.4700000000003</v>
      </c>
      <c r="J55" s="110">
        <f t="shared" si="16"/>
        <v>71.45634130146082</v>
      </c>
      <c r="K55" s="110">
        <v>5258.92</v>
      </c>
      <c r="L55" s="110">
        <f>F55-K55</f>
        <v>-954.3900000000003</v>
      </c>
      <c r="M55" s="115">
        <f t="shared" si="17"/>
        <v>0.8185197721205114</v>
      </c>
      <c r="N55" s="111">
        <f>E55-вересень!E55</f>
        <v>500</v>
      </c>
      <c r="O55" s="179">
        <f>F55-вересень!F55</f>
        <v>22.30999999999949</v>
      </c>
      <c r="P55" s="112">
        <f t="shared" si="15"/>
        <v>-477.6900000000005</v>
      </c>
      <c r="Q55" s="132">
        <f t="shared" si="12"/>
        <v>4.461999999999898</v>
      </c>
      <c r="R55" s="42"/>
      <c r="S55" s="100"/>
      <c r="T55" s="186">
        <f t="shared" si="8"/>
        <v>1301.83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E56-вересень!E56</f>
        <v>0</v>
      </c>
      <c r="O56" s="208">
        <f>F56-вересень!F56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5077.98</v>
      </c>
      <c r="F57" s="196">
        <v>5479.14</v>
      </c>
      <c r="G57" s="202">
        <f t="shared" si="13"/>
        <v>401.16000000000076</v>
      </c>
      <c r="H57" s="204">
        <f t="shared" si="11"/>
        <v>107.89999172899462</v>
      </c>
      <c r="I57" s="205">
        <f t="shared" si="14"/>
        <v>329.1400000000003</v>
      </c>
      <c r="J57" s="205">
        <f t="shared" si="16"/>
        <v>106.39106796116506</v>
      </c>
      <c r="K57" s="205">
        <v>4010.85</v>
      </c>
      <c r="L57" s="205">
        <f aca="true" t="shared" si="18" ref="L57:L63">F57-K57</f>
        <v>1468.2900000000004</v>
      </c>
      <c r="M57" s="266">
        <f t="shared" si="17"/>
        <v>1.36607950933094</v>
      </c>
      <c r="N57" s="204">
        <f>E57-вересень!E57</f>
        <v>440</v>
      </c>
      <c r="O57" s="208">
        <f>F57-вересень!F57</f>
        <v>325.0100000000002</v>
      </c>
      <c r="P57" s="207">
        <f t="shared" si="15"/>
        <v>-114.98999999999978</v>
      </c>
      <c r="Q57" s="205">
        <f t="shared" si="12"/>
        <v>73.86590909090914</v>
      </c>
      <c r="R57" s="42"/>
      <c r="S57" s="100"/>
      <c r="T57" s="186">
        <f t="shared" si="8"/>
        <v>72.02000000000044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E58-вересень!E58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1107.08</v>
      </c>
      <c r="G59" s="202"/>
      <c r="H59" s="204"/>
      <c r="I59" s="205"/>
      <c r="J59" s="205"/>
      <c r="K59" s="206">
        <v>1044.28</v>
      </c>
      <c r="L59" s="205">
        <f t="shared" si="18"/>
        <v>62.799999999999955</v>
      </c>
      <c r="M59" s="266">
        <f t="shared" si="17"/>
        <v>1.0601371279733405</v>
      </c>
      <c r="N59" s="204"/>
      <c r="O59" s="220">
        <f>F59-вересень!F59</f>
        <v>104.7299999999999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E61-вересень!E61</f>
        <v>0</v>
      </c>
      <c r="O61" s="208">
        <f>F61-вересень!F61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21.4</v>
      </c>
      <c r="F62" s="196">
        <v>13.52</v>
      </c>
      <c r="G62" s="202">
        <f t="shared" si="13"/>
        <v>-7.879999999999999</v>
      </c>
      <c r="H62" s="204">
        <f t="shared" si="11"/>
        <v>63.177570093457945</v>
      </c>
      <c r="I62" s="205">
        <f t="shared" si="14"/>
        <v>-16.48</v>
      </c>
      <c r="J62" s="205">
        <f t="shared" si="16"/>
        <v>45.06666666666666</v>
      </c>
      <c r="K62" s="205">
        <v>20.92</v>
      </c>
      <c r="L62" s="205">
        <f t="shared" si="18"/>
        <v>-7.400000000000002</v>
      </c>
      <c r="M62" s="266">
        <f t="shared" si="17"/>
        <v>0.6462715105162523</v>
      </c>
      <c r="N62" s="204">
        <f>E62-вересень!E62</f>
        <v>2.299999999999997</v>
      </c>
      <c r="O62" s="208">
        <f>F62-вересень!F62</f>
        <v>0</v>
      </c>
      <c r="P62" s="207">
        <f t="shared" si="15"/>
        <v>-2.299999999999997</v>
      </c>
      <c r="Q62" s="205">
        <f t="shared" si="12"/>
        <v>0</v>
      </c>
      <c r="R62" s="42"/>
      <c r="S62" s="100"/>
      <c r="T62" s="186">
        <f t="shared" si="8"/>
        <v>8.600000000000001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E63-вересень!E63</f>
        <v>0</v>
      </c>
      <c r="O63" s="208">
        <f>F63-вересень!F63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850992.5599999999</v>
      </c>
      <c r="F64" s="191">
        <f>F8+F38+F62+F63</f>
        <v>805370.0800000001</v>
      </c>
      <c r="G64" s="191">
        <f>F64-E64</f>
        <v>-45622.479999999865</v>
      </c>
      <c r="H64" s="192">
        <f>F64/E64*100</f>
        <v>94.63890965157205</v>
      </c>
      <c r="I64" s="193">
        <f>F64-D64</f>
        <v>-213574.65000000002</v>
      </c>
      <c r="J64" s="193">
        <f>F64/D64*100</f>
        <v>79.03962367026521</v>
      </c>
      <c r="K64" s="193">
        <v>577689.14</v>
      </c>
      <c r="L64" s="193">
        <f>F64-K64</f>
        <v>227680.94000000006</v>
      </c>
      <c r="M64" s="267">
        <f>F64/K64</f>
        <v>1.3941236284968073</v>
      </c>
      <c r="N64" s="191">
        <f>N8+N38+N62+N63</f>
        <v>95997.42</v>
      </c>
      <c r="O64" s="191">
        <f>O8+O38+O62+O63</f>
        <v>47869.980000000054</v>
      </c>
      <c r="P64" s="195">
        <f>O64-N64</f>
        <v>-48127.439999999944</v>
      </c>
      <c r="Q64" s="193">
        <f>O64/N64*100</f>
        <v>49.86590264613367</v>
      </c>
      <c r="R64" s="28">
        <f>O64-34768</f>
        <v>13101.980000000054</v>
      </c>
      <c r="S64" s="128">
        <f>O64/34768</f>
        <v>1.3768401978831124</v>
      </c>
      <c r="T64" s="186">
        <f t="shared" si="8"/>
        <v>167952.17000000016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F69-вересень!F69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-54.75</v>
      </c>
      <c r="L70" s="207">
        <f>F70-K70</f>
        <v>50.92</v>
      </c>
      <c r="M70" s="254">
        <f>F70/K70</f>
        <v>0.06995433789954338</v>
      </c>
      <c r="N70" s="204"/>
      <c r="O70" s="223">
        <f>F70-вересень!F70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2052.17</v>
      </c>
      <c r="G73" s="202">
        <f aca="true" t="shared" si="19" ref="G73:G83">F73-E73</f>
        <v>-647.8299999999999</v>
      </c>
      <c r="H73" s="204"/>
      <c r="I73" s="207">
        <f aca="true" t="shared" si="20" ref="I73:I83">F73-D73</f>
        <v>-2147.83</v>
      </c>
      <c r="J73" s="207">
        <f>F73/D73*100</f>
        <v>48.86119047619048</v>
      </c>
      <c r="K73" s="207">
        <v>593.13</v>
      </c>
      <c r="L73" s="207">
        <f aca="true" t="shared" si="21" ref="L73:L83">F73-K73</f>
        <v>1459.04</v>
      </c>
      <c r="M73" s="254">
        <f>F73/K73</f>
        <v>3.459899178932106</v>
      </c>
      <c r="N73" s="204">
        <f>E73-вересень!E73</f>
        <v>0</v>
      </c>
      <c r="O73" s="208">
        <f>F73-вересень!F73</f>
        <v>498.22</v>
      </c>
      <c r="P73" s="207">
        <f aca="true" t="shared" si="22" ref="P73:P86">O73-N73</f>
        <v>498.22</v>
      </c>
      <c r="Q73" s="207" t="e">
        <f>O73/N73*100</f>
        <v>#DIV/0!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5152.91</v>
      </c>
      <c r="F74" s="222">
        <v>7067.86</v>
      </c>
      <c r="G74" s="202">
        <f t="shared" si="19"/>
        <v>1914.9499999999998</v>
      </c>
      <c r="H74" s="204">
        <f>F74/E74*100</f>
        <v>137.16249653108633</v>
      </c>
      <c r="I74" s="207">
        <f t="shared" si="20"/>
        <v>-391.1400000000003</v>
      </c>
      <c r="J74" s="207">
        <f>F74/D74*100</f>
        <v>94.75613352996379</v>
      </c>
      <c r="K74" s="207">
        <v>7212.08</v>
      </c>
      <c r="L74" s="207">
        <f t="shared" si="21"/>
        <v>-144.22000000000025</v>
      </c>
      <c r="M74" s="254">
        <f>F74/K74</f>
        <v>0.9800029949750974</v>
      </c>
      <c r="N74" s="204">
        <f>E74-вересень!E74</f>
        <v>460.6999999999998</v>
      </c>
      <c r="O74" s="208">
        <f>F74-вересень!F74</f>
        <v>164.40999999999985</v>
      </c>
      <c r="P74" s="207">
        <f t="shared" si="22"/>
        <v>-296.28999999999996</v>
      </c>
      <c r="Q74" s="207">
        <f>O74/N74*100</f>
        <v>35.68699804645104</v>
      </c>
      <c r="R74" s="43"/>
      <c r="S74" s="103"/>
      <c r="T74" s="186">
        <f aca="true" t="shared" si="23" ref="T74:T90">D74-E74</f>
        <v>2306.09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3000.85</v>
      </c>
      <c r="F75" s="222">
        <v>12241.29</v>
      </c>
      <c r="G75" s="202">
        <f t="shared" si="19"/>
        <v>9240.44</v>
      </c>
      <c r="H75" s="204">
        <f>F75/E75*100</f>
        <v>407.92742056417353</v>
      </c>
      <c r="I75" s="207">
        <f t="shared" si="20"/>
        <v>6241.290000000001</v>
      </c>
      <c r="J75" s="207">
        <f>F75/D75*100</f>
        <v>204.02150000000003</v>
      </c>
      <c r="K75" s="207">
        <v>2063.43</v>
      </c>
      <c r="L75" s="207">
        <f t="shared" si="21"/>
        <v>10177.86</v>
      </c>
      <c r="M75" s="254">
        <f>F75/K75</f>
        <v>5.932495892761083</v>
      </c>
      <c r="N75" s="204">
        <f>E75-вересень!E75</f>
        <v>302</v>
      </c>
      <c r="O75" s="208">
        <f>F75-вересень!F75</f>
        <v>124.8700000000008</v>
      </c>
      <c r="P75" s="207">
        <f t="shared" si="22"/>
        <v>-177.1299999999992</v>
      </c>
      <c r="Q75" s="207">
        <f>O75/N75*100</f>
        <v>41.347682119205565</v>
      </c>
      <c r="R75" s="43"/>
      <c r="S75" s="103"/>
      <c r="T75" s="186">
        <f t="shared" si="23"/>
        <v>2999.15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10</v>
      </c>
      <c r="F76" s="222">
        <v>11</v>
      </c>
      <c r="G76" s="202">
        <f t="shared" si="19"/>
        <v>1</v>
      </c>
      <c r="H76" s="204">
        <f>F76/E76*100</f>
        <v>110.00000000000001</v>
      </c>
      <c r="I76" s="207">
        <f t="shared" si="20"/>
        <v>-1</v>
      </c>
      <c r="J76" s="207">
        <f>F76/D76*100</f>
        <v>91.66666666666666</v>
      </c>
      <c r="K76" s="207">
        <v>0</v>
      </c>
      <c r="L76" s="207">
        <f t="shared" si="21"/>
        <v>11</v>
      </c>
      <c r="M76" s="254"/>
      <c r="N76" s="204">
        <f>E76-вересень!E76</f>
        <v>1</v>
      </c>
      <c r="O76" s="208">
        <f>F76-вересень!F76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2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10863.76</v>
      </c>
      <c r="F77" s="225">
        <f>F73+F74+F75+F76</f>
        <v>21372.32</v>
      </c>
      <c r="G77" s="226">
        <f t="shared" si="19"/>
        <v>10508.56</v>
      </c>
      <c r="H77" s="227">
        <f>F77/E77*100</f>
        <v>196.73041377939128</v>
      </c>
      <c r="I77" s="228">
        <f t="shared" si="20"/>
        <v>3701.3199999999997</v>
      </c>
      <c r="J77" s="228">
        <f>F77/D77*100</f>
        <v>120.94573029256975</v>
      </c>
      <c r="K77" s="228">
        <v>6439.8</v>
      </c>
      <c r="L77" s="228">
        <f t="shared" si="21"/>
        <v>14932.52</v>
      </c>
      <c r="M77" s="260">
        <f>F77/K77</f>
        <v>3.318786297711109</v>
      </c>
      <c r="N77" s="226">
        <f>N73+N74+N75+N76</f>
        <v>763.6999999999998</v>
      </c>
      <c r="O77" s="230">
        <f>O73+O74+O75+O76</f>
        <v>788.5000000000007</v>
      </c>
      <c r="P77" s="228">
        <f t="shared" si="22"/>
        <v>24.800000000000864</v>
      </c>
      <c r="Q77" s="228">
        <f>O77/N77*100</f>
        <v>103.24734843524956</v>
      </c>
      <c r="R77" s="44"/>
      <c r="S77" s="129"/>
      <c r="T77" s="186">
        <f t="shared" si="23"/>
        <v>6807.24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E78-вересень!E78</f>
        <v>0</v>
      </c>
      <c r="O78" s="208">
        <f>F78-вересень!F78</f>
        <v>0</v>
      </c>
      <c r="P78" s="207">
        <f t="shared" si="22"/>
        <v>0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E79-вересень!E79</f>
        <v>0</v>
      </c>
      <c r="O79" s="208">
        <f>F79-вересень!F79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7625.3</v>
      </c>
      <c r="F80" s="222">
        <v>6829.43</v>
      </c>
      <c r="G80" s="202">
        <f t="shared" si="19"/>
        <v>-795.8699999999999</v>
      </c>
      <c r="H80" s="204">
        <f>F80/E80*100</f>
        <v>89.56277130080127</v>
      </c>
      <c r="I80" s="207">
        <f t="shared" si="20"/>
        <v>-2670.5699999999997</v>
      </c>
      <c r="J80" s="207">
        <f>F80/D80*100</f>
        <v>71.88873684210526</v>
      </c>
      <c r="K80" s="207">
        <v>0</v>
      </c>
      <c r="L80" s="207">
        <f t="shared" si="21"/>
        <v>6829.43</v>
      </c>
      <c r="M80" s="254"/>
      <c r="N80" s="204">
        <f>E80-вересень!E80</f>
        <v>1.300000000000182</v>
      </c>
      <c r="O80" s="208">
        <f>F80-вересень!F80</f>
        <v>3.7600000000002183</v>
      </c>
      <c r="P80" s="207">
        <f>O80-N80</f>
        <v>2.4600000000000364</v>
      </c>
      <c r="Q80" s="231">
        <f>O80/N80*100</f>
        <v>289.2307692307456</v>
      </c>
      <c r="R80" s="46"/>
      <c r="S80" s="105"/>
      <c r="T80" s="186">
        <f t="shared" si="23"/>
        <v>1874.6999999999998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1.14</v>
      </c>
      <c r="L81" s="207">
        <f t="shared" si="21"/>
        <v>0.08000000000000007</v>
      </c>
      <c r="M81" s="254">
        <f>F81/K81</f>
        <v>1.0701754385964912</v>
      </c>
      <c r="N81" s="204">
        <f>E81-вересень!E81</f>
        <v>0</v>
      </c>
      <c r="O81" s="208">
        <f>F81-вересень!F81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7625.3</v>
      </c>
      <c r="F82" s="225">
        <f>F78+F81+F79+F80</f>
        <v>6866.43</v>
      </c>
      <c r="G82" s="224">
        <f>G78+G81+G79+G80</f>
        <v>-758.8699999999999</v>
      </c>
      <c r="H82" s="227">
        <f>F82/E82*100</f>
        <v>90.0479981115497</v>
      </c>
      <c r="I82" s="228">
        <f t="shared" si="20"/>
        <v>-2634.5699999999997</v>
      </c>
      <c r="J82" s="228">
        <f>F82/D82*100</f>
        <v>72.27060309441111</v>
      </c>
      <c r="K82" s="228">
        <v>1.35</v>
      </c>
      <c r="L82" s="228">
        <f t="shared" si="21"/>
        <v>6865.08</v>
      </c>
      <c r="M82" s="268">
        <f>F82/K82</f>
        <v>5086.2444444444445</v>
      </c>
      <c r="N82" s="226">
        <f>N78+N81+N79+N80</f>
        <v>1.300000000000182</v>
      </c>
      <c r="O82" s="230">
        <f>O78+O81+O79+O80</f>
        <v>3.7600000000002183</v>
      </c>
      <c r="P82" s="226">
        <f>P78+P81+P79+P80</f>
        <v>2.4600000000000364</v>
      </c>
      <c r="Q82" s="228">
        <f>O82/N82*100</f>
        <v>289.2307692307456</v>
      </c>
      <c r="R82" s="44"/>
      <c r="S82" s="102"/>
      <c r="T82" s="186">
        <f t="shared" si="23"/>
        <v>1875.6999999999998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29.77</v>
      </c>
      <c r="F83" s="222">
        <v>27.18</v>
      </c>
      <c r="G83" s="202">
        <f t="shared" si="19"/>
        <v>-2.59</v>
      </c>
      <c r="H83" s="204">
        <f>F83/E83*100</f>
        <v>91.29996640913672</v>
      </c>
      <c r="I83" s="207">
        <f t="shared" si="20"/>
        <v>-15.82</v>
      </c>
      <c r="J83" s="207">
        <f>F83/D83*100</f>
        <v>63.2093023255814</v>
      </c>
      <c r="K83" s="207">
        <v>30.02</v>
      </c>
      <c r="L83" s="207">
        <f t="shared" si="21"/>
        <v>-2.84</v>
      </c>
      <c r="M83" s="254">
        <f>F83/K83</f>
        <v>0.905396402398401</v>
      </c>
      <c r="N83" s="204">
        <f>E83-вересень!E83</f>
        <v>0.8000000000000007</v>
      </c>
      <c r="O83" s="208">
        <f>F83-вересень!F83</f>
        <v>0.3099999999999987</v>
      </c>
      <c r="P83" s="207">
        <f t="shared" si="22"/>
        <v>-0.490000000000002</v>
      </c>
      <c r="Q83" s="207">
        <f>O83/N83</f>
        <v>0.38749999999999807</v>
      </c>
      <c r="R83" s="43"/>
      <c r="S83" s="103"/>
      <c r="T83" s="186">
        <f t="shared" si="23"/>
        <v>13.23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18518.83</v>
      </c>
      <c r="F85" s="232">
        <f>F71+F83+F77+F82+F84</f>
        <v>28262.11</v>
      </c>
      <c r="G85" s="233">
        <f>F85-E85</f>
        <v>9743.279999999999</v>
      </c>
      <c r="H85" s="234">
        <f>F85/E85*100</f>
        <v>152.61282705224897</v>
      </c>
      <c r="I85" s="235">
        <f>F85-D85</f>
        <v>1047.1100000000006</v>
      </c>
      <c r="J85" s="235">
        <f>F85/D85*100</f>
        <v>103.84754730846959</v>
      </c>
      <c r="K85" s="235">
        <v>9845.6</v>
      </c>
      <c r="L85" s="235">
        <f>F85-K85</f>
        <v>18416.510000000002</v>
      </c>
      <c r="M85" s="269">
        <f>F85/K85</f>
        <v>2.8705320143008044</v>
      </c>
      <c r="N85" s="232">
        <f>N71+N83+N77+N82</f>
        <v>765.8</v>
      </c>
      <c r="O85" s="232">
        <f>O71+O83+O77+O82+O84</f>
        <v>792.5700000000008</v>
      </c>
      <c r="P85" s="235">
        <f t="shared" si="22"/>
        <v>26.77000000000089</v>
      </c>
      <c r="Q85" s="235">
        <f>O85/N85*100</f>
        <v>103.49569078088285</v>
      </c>
      <c r="R85" s="28">
        <f>O85-8104.96</f>
        <v>-7312.389999999999</v>
      </c>
      <c r="S85" s="101">
        <f>O85/8104.96</f>
        <v>0.09778826792482638</v>
      </c>
      <c r="T85" s="186">
        <f t="shared" si="23"/>
        <v>8696.169999999998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869511.3899999999</v>
      </c>
      <c r="F86" s="232">
        <f>F64+F85</f>
        <v>833632.1900000001</v>
      </c>
      <c r="G86" s="233">
        <f>F86-E86</f>
        <v>-35879.19999999984</v>
      </c>
      <c r="H86" s="234">
        <f>F86/E86*100</f>
        <v>95.87363657191428</v>
      </c>
      <c r="I86" s="235">
        <f>F86-D86</f>
        <v>-212527.54000000004</v>
      </c>
      <c r="J86" s="235">
        <f>F86/D86*100</f>
        <v>79.68498175704009</v>
      </c>
      <c r="K86" s="235">
        <f>K64+K85</f>
        <v>587534.74</v>
      </c>
      <c r="L86" s="235">
        <f>F86-K86</f>
        <v>246097.45000000007</v>
      </c>
      <c r="M86" s="269">
        <f>F86/K86</f>
        <v>1.418864508335286</v>
      </c>
      <c r="N86" s="233">
        <f>N64+N85</f>
        <v>96763.22</v>
      </c>
      <c r="O86" s="233">
        <f>O64+O85</f>
        <v>48662.550000000054</v>
      </c>
      <c r="P86" s="235">
        <f t="shared" si="22"/>
        <v>-48100.66999999995</v>
      </c>
      <c r="Q86" s="235">
        <f>O86/N86*100</f>
        <v>50.29033758901373</v>
      </c>
      <c r="R86" s="28">
        <f>O86-42872.96</f>
        <v>5789.590000000055</v>
      </c>
      <c r="S86" s="101">
        <f>O86/42872.96</f>
        <v>1.1350405943513127</v>
      </c>
      <c r="T86" s="186">
        <f t="shared" si="23"/>
        <v>176648.3400000002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6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8021.239999999991</v>
      </c>
      <c r="D89" s="4" t="s">
        <v>24</v>
      </c>
      <c r="G89" s="429"/>
      <c r="H89" s="429"/>
      <c r="I89" s="429"/>
      <c r="J89" s="42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42663</v>
      </c>
      <c r="D90" s="31">
        <v>4436.9</v>
      </c>
      <c r="G90" s="4" t="s">
        <v>59</v>
      </c>
      <c r="O90" s="421"/>
      <c r="P90" s="421"/>
      <c r="T90" s="186">
        <f t="shared" si="23"/>
        <v>4436.9</v>
      </c>
    </row>
    <row r="91" spans="3:16" ht="15">
      <c r="C91" s="87">
        <v>42662</v>
      </c>
      <c r="D91" s="31">
        <v>3699.5</v>
      </c>
      <c r="F91" s="124" t="s">
        <v>59</v>
      </c>
      <c r="G91" s="415"/>
      <c r="H91" s="415"/>
      <c r="I91" s="131"/>
      <c r="J91" s="418"/>
      <c r="K91" s="418"/>
      <c r="L91" s="418"/>
      <c r="M91" s="418"/>
      <c r="N91" s="418"/>
      <c r="O91" s="421"/>
      <c r="P91" s="421"/>
    </row>
    <row r="92" spans="3:16" ht="15.75" customHeight="1">
      <c r="C92" s="87">
        <v>42661</v>
      </c>
      <c r="D92" s="31">
        <v>3637.8</v>
      </c>
      <c r="F92" s="73"/>
      <c r="G92" s="415"/>
      <c r="H92" s="415"/>
      <c r="I92" s="131"/>
      <c r="J92" s="422"/>
      <c r="K92" s="422"/>
      <c r="L92" s="422"/>
      <c r="M92" s="422"/>
      <c r="N92" s="422"/>
      <c r="O92" s="421"/>
      <c r="P92" s="421"/>
    </row>
    <row r="93" spans="3:14" ht="15.75" customHeight="1">
      <c r="C93" s="87"/>
      <c r="F93" s="73"/>
      <c r="G93" s="417"/>
      <c r="H93" s="417"/>
      <c r="I93" s="139"/>
      <c r="J93" s="418"/>
      <c r="K93" s="418"/>
      <c r="L93" s="418"/>
      <c r="M93" s="418"/>
      <c r="N93" s="418"/>
    </row>
    <row r="94" spans="2:14" ht="18.75" customHeight="1">
      <c r="B94" s="419" t="s">
        <v>57</v>
      </c>
      <c r="C94" s="420"/>
      <c r="D94" s="148">
        <v>528.27207</v>
      </c>
      <c r="E94" s="74"/>
      <c r="F94" s="140" t="s">
        <v>137</v>
      </c>
      <c r="G94" s="415"/>
      <c r="H94" s="415"/>
      <c r="I94" s="141"/>
      <c r="J94" s="418"/>
      <c r="K94" s="418"/>
      <c r="L94" s="418"/>
      <c r="M94" s="418"/>
      <c r="N94" s="418"/>
    </row>
    <row r="95" spans="6:13" ht="9.75" customHeight="1">
      <c r="F95" s="73"/>
      <c r="G95" s="415"/>
      <c r="H95" s="415"/>
      <c r="I95" s="73"/>
      <c r="J95" s="74"/>
      <c r="K95" s="74"/>
      <c r="L95" s="74"/>
      <c r="M95" s="74"/>
    </row>
    <row r="96" spans="2:13" ht="22.5" customHeight="1" hidden="1">
      <c r="B96" s="413" t="s">
        <v>60</v>
      </c>
      <c r="C96" s="414"/>
      <c r="D96" s="86">
        <v>0</v>
      </c>
      <c r="E96" s="56" t="s">
        <v>24</v>
      </c>
      <c r="F96" s="73"/>
      <c r="G96" s="415"/>
      <c r="H96" s="415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958</v>
      </c>
      <c r="F97" s="247">
        <f>F45+F48+F49</f>
        <v>739.82</v>
      </c>
      <c r="G97" s="73">
        <f>G45+G48+G49</f>
        <v>-218.17999999999998</v>
      </c>
      <c r="H97" s="74"/>
      <c r="I97" s="74"/>
      <c r="N97" s="31">
        <f>N45+N48+N49</f>
        <v>12</v>
      </c>
      <c r="O97" s="246">
        <f>O45+O48+O49</f>
        <v>84.39000000000001</v>
      </c>
      <c r="P97" s="31">
        <f>P45+P48+P49</f>
        <v>72.39000000000001</v>
      </c>
    </row>
    <row r="98" spans="4:16" ht="15">
      <c r="D98" s="83"/>
      <c r="I98" s="31"/>
      <c r="O98" s="416"/>
      <c r="P98" s="416"/>
    </row>
    <row r="99" spans="15:16" ht="15">
      <c r="O99" s="415"/>
      <c r="P99" s="415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27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6" t="s">
        <v>114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 t="s">
        <v>135</v>
      </c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56" t="s">
        <v>132</v>
      </c>
      <c r="N3" s="447" t="s">
        <v>66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129</v>
      </c>
      <c r="F4" s="453" t="s">
        <v>34</v>
      </c>
      <c r="G4" s="423" t="s">
        <v>130</v>
      </c>
      <c r="H4" s="432" t="s">
        <v>131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57" t="s">
        <v>133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92.2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134</v>
      </c>
      <c r="L5" s="428"/>
      <c r="M5" s="433"/>
      <c r="N5" s="458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9"/>
      <c r="H83" s="429"/>
      <c r="I83" s="429"/>
      <c r="J83" s="429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21"/>
      <c r="O84" s="421"/>
    </row>
    <row r="85" spans="3:15" ht="15">
      <c r="C85" s="87">
        <v>42397</v>
      </c>
      <c r="D85" s="31">
        <v>8685</v>
      </c>
      <c r="F85" s="124" t="s">
        <v>59</v>
      </c>
      <c r="G85" s="415"/>
      <c r="H85" s="415"/>
      <c r="I85" s="131"/>
      <c r="J85" s="418"/>
      <c r="K85" s="418"/>
      <c r="L85" s="418"/>
      <c r="M85" s="418"/>
      <c r="N85" s="421"/>
      <c r="O85" s="421"/>
    </row>
    <row r="86" spans="3:15" ht="15.75" customHeight="1">
      <c r="C86" s="87">
        <v>42396</v>
      </c>
      <c r="D86" s="31">
        <v>4820.3</v>
      </c>
      <c r="F86" s="73"/>
      <c r="G86" s="415"/>
      <c r="H86" s="415"/>
      <c r="I86" s="131"/>
      <c r="J86" s="422"/>
      <c r="K86" s="422"/>
      <c r="L86" s="422"/>
      <c r="M86" s="422"/>
      <c r="N86" s="421"/>
      <c r="O86" s="421"/>
    </row>
    <row r="87" spans="3:13" ht="15.75" customHeight="1">
      <c r="C87" s="87"/>
      <c r="F87" s="73"/>
      <c r="G87" s="417"/>
      <c r="H87" s="417"/>
      <c r="I87" s="139"/>
      <c r="J87" s="418"/>
      <c r="K87" s="418"/>
      <c r="L87" s="418"/>
      <c r="M87" s="418"/>
    </row>
    <row r="88" spans="2:13" ht="18.75" customHeight="1">
      <c r="B88" s="419" t="s">
        <v>57</v>
      </c>
      <c r="C88" s="420"/>
      <c r="D88" s="148">
        <v>300.92</v>
      </c>
      <c r="E88" s="74"/>
      <c r="F88" s="140"/>
      <c r="G88" s="415"/>
      <c r="H88" s="415"/>
      <c r="I88" s="141"/>
      <c r="J88" s="418"/>
      <c r="K88" s="418"/>
      <c r="L88" s="418"/>
      <c r="M88" s="418"/>
    </row>
    <row r="89" spans="6:12" ht="9.75" customHeight="1">
      <c r="F89" s="73"/>
      <c r="G89" s="415"/>
      <c r="H89" s="415"/>
      <c r="I89" s="73"/>
      <c r="J89" s="74"/>
      <c r="K89" s="74"/>
      <c r="L89" s="74"/>
    </row>
    <row r="90" spans="2:12" ht="22.5" customHeight="1" hidden="1">
      <c r="B90" s="413" t="s">
        <v>60</v>
      </c>
      <c r="C90" s="414"/>
      <c r="D90" s="86">
        <v>0</v>
      </c>
      <c r="E90" s="56" t="s">
        <v>24</v>
      </c>
      <c r="F90" s="73"/>
      <c r="G90" s="415"/>
      <c r="H90" s="41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5"/>
      <c r="O91" s="415"/>
    </row>
    <row r="92" spans="4:15" ht="15">
      <c r="D92" s="83"/>
      <c r="I92" s="31"/>
      <c r="N92" s="416"/>
      <c r="O92" s="416"/>
    </row>
    <row r="93" spans="14:15" ht="15">
      <c r="N93" s="415"/>
      <c r="O93" s="415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6" t="s">
        <v>114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 t="s">
        <v>136</v>
      </c>
      <c r="C3" s="441" t="s">
        <v>0</v>
      </c>
      <c r="D3" s="442" t="s">
        <v>115</v>
      </c>
      <c r="E3" s="34"/>
      <c r="F3" s="443" t="s">
        <v>26</v>
      </c>
      <c r="G3" s="444"/>
      <c r="H3" s="444"/>
      <c r="I3" s="444"/>
      <c r="J3" s="445"/>
      <c r="K3" s="89"/>
      <c r="L3" s="89"/>
      <c r="M3" s="456" t="s">
        <v>107</v>
      </c>
      <c r="N3" s="447" t="s">
        <v>66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104</v>
      </c>
      <c r="F4" s="459" t="s">
        <v>34</v>
      </c>
      <c r="G4" s="423" t="s">
        <v>109</v>
      </c>
      <c r="H4" s="432" t="s">
        <v>110</v>
      </c>
      <c r="I4" s="423" t="s">
        <v>105</v>
      </c>
      <c r="J4" s="432" t="s">
        <v>106</v>
      </c>
      <c r="K4" s="91" t="s">
        <v>65</v>
      </c>
      <c r="L4" s="96" t="s">
        <v>64</v>
      </c>
      <c r="M4" s="432"/>
      <c r="N4" s="457" t="s">
        <v>103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76.5" customHeight="1">
      <c r="A5" s="439"/>
      <c r="B5" s="440"/>
      <c r="C5" s="441"/>
      <c r="D5" s="442"/>
      <c r="E5" s="449"/>
      <c r="F5" s="460"/>
      <c r="G5" s="424"/>
      <c r="H5" s="433"/>
      <c r="I5" s="424"/>
      <c r="J5" s="433"/>
      <c r="K5" s="426" t="s">
        <v>108</v>
      </c>
      <c r="L5" s="428"/>
      <c r="M5" s="433"/>
      <c r="N5" s="458"/>
      <c r="O5" s="424"/>
      <c r="P5" s="425"/>
      <c r="Q5" s="426" t="s">
        <v>126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29"/>
      <c r="H82" s="429"/>
      <c r="I82" s="429"/>
      <c r="J82" s="429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21"/>
      <c r="O83" s="421"/>
    </row>
    <row r="84" spans="3:15" ht="15">
      <c r="C84" s="87">
        <v>42397</v>
      </c>
      <c r="D84" s="31">
        <v>8685</v>
      </c>
      <c r="F84" s="166" t="s">
        <v>59</v>
      </c>
      <c r="G84" s="415"/>
      <c r="H84" s="415"/>
      <c r="I84" s="131"/>
      <c r="J84" s="418"/>
      <c r="K84" s="418"/>
      <c r="L84" s="418"/>
      <c r="M84" s="418"/>
      <c r="N84" s="421"/>
      <c r="O84" s="421"/>
    </row>
    <row r="85" spans="3:15" ht="15.75" customHeight="1">
      <c r="C85" s="87">
        <v>42396</v>
      </c>
      <c r="D85" s="31">
        <v>4820.3</v>
      </c>
      <c r="F85" s="167"/>
      <c r="G85" s="415"/>
      <c r="H85" s="415"/>
      <c r="I85" s="131"/>
      <c r="J85" s="422"/>
      <c r="K85" s="422"/>
      <c r="L85" s="422"/>
      <c r="M85" s="422"/>
      <c r="N85" s="421"/>
      <c r="O85" s="421"/>
    </row>
    <row r="86" spans="3:13" ht="15.75" customHeight="1">
      <c r="C86" s="87"/>
      <c r="F86" s="167"/>
      <c r="G86" s="417"/>
      <c r="H86" s="417"/>
      <c r="I86" s="139"/>
      <c r="J86" s="418"/>
      <c r="K86" s="418"/>
      <c r="L86" s="418"/>
      <c r="M86" s="418"/>
    </row>
    <row r="87" spans="2:13" ht="18.75" customHeight="1">
      <c r="B87" s="419" t="s">
        <v>57</v>
      </c>
      <c r="C87" s="420"/>
      <c r="D87" s="148">
        <v>300.92</v>
      </c>
      <c r="E87" s="74"/>
      <c r="F87" s="168"/>
      <c r="G87" s="415"/>
      <c r="H87" s="415"/>
      <c r="I87" s="141"/>
      <c r="J87" s="418"/>
      <c r="K87" s="418"/>
      <c r="L87" s="418"/>
      <c r="M87" s="418"/>
    </row>
    <row r="88" spans="6:12" ht="9.75" customHeight="1">
      <c r="F88" s="167"/>
      <c r="G88" s="415"/>
      <c r="H88" s="415"/>
      <c r="I88" s="73"/>
      <c r="J88" s="74"/>
      <c r="K88" s="74"/>
      <c r="L88" s="74"/>
    </row>
    <row r="89" spans="2:12" ht="22.5" customHeight="1" hidden="1">
      <c r="B89" s="413" t="s">
        <v>60</v>
      </c>
      <c r="C89" s="414"/>
      <c r="D89" s="86">
        <v>0</v>
      </c>
      <c r="E89" s="56" t="s">
        <v>24</v>
      </c>
      <c r="F89" s="167"/>
      <c r="G89" s="415"/>
      <c r="H89" s="415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15"/>
      <c r="O90" s="415"/>
    </row>
    <row r="91" spans="4:15" ht="15">
      <c r="D91" s="83"/>
      <c r="I91" s="31"/>
      <c r="N91" s="416"/>
      <c r="O91" s="416"/>
    </row>
    <row r="92" spans="14:15" ht="15">
      <c r="N92" s="415"/>
      <c r="O92" s="415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6" zoomScaleNormal="76" zoomScalePageLayoutView="0" workbookViewId="0" topLeftCell="B1">
      <pane xSplit="2" ySplit="8" topLeftCell="G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9.125" style="4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436" t="s">
        <v>206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92"/>
      <c r="S1" s="93"/>
    </row>
    <row r="2" spans="2:19" s="1" customFormat="1" ht="15.75" customHeight="1">
      <c r="B2" s="437"/>
      <c r="C2" s="437"/>
      <c r="D2" s="43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89"/>
      <c r="N3" s="446" t="s">
        <v>201</v>
      </c>
      <c r="O3" s="447" t="s">
        <v>202</v>
      </c>
      <c r="P3" s="447"/>
      <c r="Q3" s="447"/>
      <c r="R3" s="447"/>
      <c r="S3" s="447"/>
    </row>
    <row r="4" spans="1:19" ht="22.5" customHeight="1">
      <c r="A4" s="438"/>
      <c r="B4" s="440"/>
      <c r="C4" s="441"/>
      <c r="D4" s="442"/>
      <c r="E4" s="448" t="s">
        <v>198</v>
      </c>
      <c r="F4" s="430" t="s">
        <v>34</v>
      </c>
      <c r="G4" s="423" t="s">
        <v>199</v>
      </c>
      <c r="H4" s="432" t="s">
        <v>200</v>
      </c>
      <c r="I4" s="423" t="s">
        <v>122</v>
      </c>
      <c r="J4" s="432" t="s">
        <v>123</v>
      </c>
      <c r="K4" s="91" t="s">
        <v>186</v>
      </c>
      <c r="L4" s="249" t="s">
        <v>185</v>
      </c>
      <c r="M4" s="96" t="s">
        <v>64</v>
      </c>
      <c r="N4" s="432"/>
      <c r="O4" s="434" t="s">
        <v>207</v>
      </c>
      <c r="P4" s="423" t="s">
        <v>50</v>
      </c>
      <c r="Q4" s="425" t="s">
        <v>49</v>
      </c>
      <c r="R4" s="97" t="s">
        <v>65</v>
      </c>
      <c r="S4" s="98" t="s">
        <v>64</v>
      </c>
    </row>
    <row r="5" spans="1:19" ht="67.5" customHeight="1">
      <c r="A5" s="439"/>
      <c r="B5" s="440"/>
      <c r="C5" s="441"/>
      <c r="D5" s="442"/>
      <c r="E5" s="449"/>
      <c r="F5" s="431"/>
      <c r="G5" s="424"/>
      <c r="H5" s="433"/>
      <c r="I5" s="424"/>
      <c r="J5" s="433"/>
      <c r="K5" s="426" t="s">
        <v>203</v>
      </c>
      <c r="L5" s="427"/>
      <c r="M5" s="428"/>
      <c r="N5" s="433"/>
      <c r="O5" s="435"/>
      <c r="P5" s="424"/>
      <c r="Q5" s="425"/>
      <c r="R5" s="426" t="s">
        <v>120</v>
      </c>
      <c r="S5" s="42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705850.81</v>
      </c>
      <c r="F8" s="191">
        <f>F9+F15+F18+F19+F20+F37+F17</f>
        <v>708038.67</v>
      </c>
      <c r="G8" s="191">
        <f aca="true" t="shared" si="0" ref="G8:G37">F8-E8</f>
        <v>2187.859999999986</v>
      </c>
      <c r="H8" s="192">
        <f>F8/E8*100</f>
        <v>100.3099606841848</v>
      </c>
      <c r="I8" s="193">
        <f>F8-D8</f>
        <v>-249032.78000000003</v>
      </c>
      <c r="J8" s="193">
        <f>F8/D8*100</f>
        <v>73.97970862050059</v>
      </c>
      <c r="K8" s="191">
        <v>480879.27</v>
      </c>
      <c r="L8" s="191">
        <f aca="true" t="shared" si="1" ref="L8:L51">F8-K8</f>
        <v>227159.40000000002</v>
      </c>
      <c r="M8" s="250">
        <f aca="true" t="shared" si="2" ref="M8:M28">F8/K8</f>
        <v>1.472383432124242</v>
      </c>
      <c r="N8" s="191">
        <f>N9+N15+N18+N19+N20+N17</f>
        <v>76492.83</v>
      </c>
      <c r="O8" s="191">
        <f>O9+O15+O18+O19+O20+O17</f>
        <v>74517.83999999998</v>
      </c>
      <c r="P8" s="191">
        <f>O8-N8</f>
        <v>-1974.9900000000198</v>
      </c>
      <c r="Q8" s="191">
        <f>O8/N8*100</f>
        <v>97.41807173299769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374978.67+4100</f>
        <v>379078.67</v>
      </c>
      <c r="F9" s="196">
        <v>385326.41</v>
      </c>
      <c r="G9" s="190">
        <f t="shared" si="0"/>
        <v>6247.739999999991</v>
      </c>
      <c r="H9" s="197">
        <f>F9/E9*100</f>
        <v>101.64813810283759</v>
      </c>
      <c r="I9" s="198">
        <f>F9-D9</f>
        <v>-145262.59000000003</v>
      </c>
      <c r="J9" s="198">
        <f>F9/D9*100</f>
        <v>72.62238945775354</v>
      </c>
      <c r="K9" s="412">
        <v>264375.41</v>
      </c>
      <c r="L9" s="199">
        <f t="shared" si="1"/>
        <v>120951</v>
      </c>
      <c r="M9" s="251">
        <f t="shared" si="2"/>
        <v>1.4574971628412794</v>
      </c>
      <c r="N9" s="197">
        <f>E9-серпень!E9</f>
        <v>46785</v>
      </c>
      <c r="O9" s="200">
        <f>F9-серпень!F9</f>
        <v>45408.04999999999</v>
      </c>
      <c r="P9" s="201">
        <f>O9-N9</f>
        <v>-1376.9500000000116</v>
      </c>
      <c r="Q9" s="198">
        <f>O9/N9*100</f>
        <v>97.05685582985998</v>
      </c>
      <c r="R9" s="106"/>
      <c r="S9" s="107"/>
      <c r="T9" s="186">
        <f>D9-E9</f>
        <v>151510.33000000002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>334470.24+4100</f>
        <v>338570.24</v>
      </c>
      <c r="F10" s="171">
        <v>339269.05</v>
      </c>
      <c r="G10" s="109">
        <f t="shared" si="0"/>
        <v>698.8099999999977</v>
      </c>
      <c r="H10" s="32">
        <f aca="true" t="shared" si="3" ref="H10:H36">F10/E10*100</f>
        <v>100.20640030263735</v>
      </c>
      <c r="I10" s="110">
        <f aca="true" t="shared" si="4" ref="I10:I37">F10-D10</f>
        <v>-145939.95</v>
      </c>
      <c r="J10" s="110">
        <f aca="true" t="shared" si="5" ref="J10:J36">F10/D10*100</f>
        <v>69.92224999948475</v>
      </c>
      <c r="K10" s="112">
        <v>233936.48</v>
      </c>
      <c r="L10" s="112">
        <f t="shared" si="1"/>
        <v>105332.56999999998</v>
      </c>
      <c r="M10" s="252">
        <f t="shared" si="2"/>
        <v>1.4502614128416396</v>
      </c>
      <c r="N10" s="111">
        <f>E10-серпень!E10</f>
        <v>43200</v>
      </c>
      <c r="O10" s="179">
        <f>F10-серпень!F10</f>
        <v>40595.640000000014</v>
      </c>
      <c r="P10" s="112">
        <f aca="true" t="shared" si="6" ref="P10:P37">O10-N10</f>
        <v>-2604.359999999986</v>
      </c>
      <c r="Q10" s="198">
        <f aca="true" t="shared" si="7" ref="Q10:Q16">O10/N10*100</f>
        <v>93.97138888888892</v>
      </c>
      <c r="R10" s="42"/>
      <c r="S10" s="100"/>
      <c r="T10" s="186">
        <f aca="true" t="shared" si="8" ref="T10:T73">D10-E10</f>
        <v>146638.76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28497.47</v>
      </c>
      <c r="G11" s="109">
        <f t="shared" si="0"/>
        <v>6982.5300000000025</v>
      </c>
      <c r="H11" s="32">
        <f t="shared" si="3"/>
        <v>132.4543317341345</v>
      </c>
      <c r="I11" s="110">
        <f t="shared" si="4"/>
        <v>5497.470000000001</v>
      </c>
      <c r="J11" s="110">
        <f t="shared" si="5"/>
        <v>123.90204347826088</v>
      </c>
      <c r="K11" s="112">
        <v>14002.69</v>
      </c>
      <c r="L11" s="112">
        <f t="shared" si="1"/>
        <v>14494.78</v>
      </c>
      <c r="M11" s="252">
        <f t="shared" si="2"/>
        <v>2.035142533327525</v>
      </c>
      <c r="N11" s="111">
        <f>E11-серпень!E11</f>
        <v>1800</v>
      </c>
      <c r="O11" s="179">
        <f>F11-серпень!F11</f>
        <v>3498.540000000001</v>
      </c>
      <c r="P11" s="112">
        <f t="shared" si="6"/>
        <v>1698.5400000000009</v>
      </c>
      <c r="Q11" s="198">
        <f t="shared" si="7"/>
        <v>194.36333333333337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7409.72</v>
      </c>
      <c r="G12" s="109">
        <f t="shared" si="0"/>
        <v>1529.1100000000006</v>
      </c>
      <c r="H12" s="32">
        <f t="shared" si="3"/>
        <v>126.00257456284298</v>
      </c>
      <c r="I12" s="110">
        <f t="shared" si="4"/>
        <v>909.7200000000003</v>
      </c>
      <c r="J12" s="110">
        <f t="shared" si="5"/>
        <v>113.99569230769231</v>
      </c>
      <c r="K12" s="112">
        <v>3744.64</v>
      </c>
      <c r="L12" s="112">
        <f t="shared" si="1"/>
        <v>3665.0800000000004</v>
      </c>
      <c r="M12" s="252">
        <f t="shared" si="2"/>
        <v>1.9787536318578023</v>
      </c>
      <c r="N12" s="111">
        <f>E12-серпень!E12</f>
        <v>480</v>
      </c>
      <c r="O12" s="179">
        <f>F12-серпень!F12</f>
        <v>723.3299999999999</v>
      </c>
      <c r="P12" s="112">
        <f t="shared" si="6"/>
        <v>243.32999999999993</v>
      </c>
      <c r="Q12" s="198">
        <f t="shared" si="7"/>
        <v>150.69375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7511.25</v>
      </c>
      <c r="G13" s="109">
        <f t="shared" si="0"/>
        <v>-2153.59</v>
      </c>
      <c r="H13" s="32">
        <f t="shared" si="3"/>
        <v>77.7172720914159</v>
      </c>
      <c r="I13" s="110">
        <f t="shared" si="4"/>
        <v>-4888.75</v>
      </c>
      <c r="J13" s="110">
        <f t="shared" si="5"/>
        <v>60.574596774193544</v>
      </c>
      <c r="K13" s="112">
        <v>5730.24</v>
      </c>
      <c r="L13" s="112">
        <f t="shared" si="1"/>
        <v>1781.0100000000002</v>
      </c>
      <c r="M13" s="252">
        <f t="shared" si="2"/>
        <v>1.3108089713519853</v>
      </c>
      <c r="N13" s="111">
        <f>E13-серпень!E13</f>
        <v>1300</v>
      </c>
      <c r="O13" s="179">
        <f>F13-серпень!F13</f>
        <v>494</v>
      </c>
      <c r="P13" s="112">
        <f t="shared" si="6"/>
        <v>-806</v>
      </c>
      <c r="Q13" s="198">
        <f t="shared" si="7"/>
        <v>38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74352.8</v>
      </c>
      <c r="G19" s="190">
        <f t="shared" si="0"/>
        <v>-5707.599999999991</v>
      </c>
      <c r="H19" s="197">
        <f t="shared" si="3"/>
        <v>92.8708824837248</v>
      </c>
      <c r="I19" s="198">
        <f t="shared" si="4"/>
        <v>-35547.2</v>
      </c>
      <c r="J19" s="198">
        <f t="shared" si="5"/>
        <v>67.65495905368518</v>
      </c>
      <c r="K19" s="209">
        <v>51468.87</v>
      </c>
      <c r="L19" s="201">
        <f t="shared" si="1"/>
        <v>22883.93</v>
      </c>
      <c r="M19" s="259">
        <f t="shared" si="2"/>
        <v>1.4446169111542568</v>
      </c>
      <c r="N19" s="197">
        <f>E19-серпень!E19</f>
        <v>10800</v>
      </c>
      <c r="O19" s="200">
        <f>F19-серпень!F19</f>
        <v>9916.520000000004</v>
      </c>
      <c r="P19" s="201">
        <f t="shared" si="6"/>
        <v>-883.4799999999959</v>
      </c>
      <c r="Q19" s="198">
        <f aca="true" t="shared" si="9" ref="Q19:Q24">O19/N19*100</f>
        <v>91.81962962962966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246235.94</v>
      </c>
      <c r="F20" s="272">
        <f>F21+F29+F30+F31+F32</f>
        <v>247866.66999999998</v>
      </c>
      <c r="G20" s="190">
        <f t="shared" si="0"/>
        <v>1630.7299999999814</v>
      </c>
      <c r="H20" s="197">
        <f t="shared" si="3"/>
        <v>100.66226319358577</v>
      </c>
      <c r="I20" s="198">
        <f t="shared" si="4"/>
        <v>-68109.98000000004</v>
      </c>
      <c r="J20" s="198">
        <f t="shared" si="5"/>
        <v>78.44461608159969</v>
      </c>
      <c r="K20" s="198">
        <v>160106.6</v>
      </c>
      <c r="L20" s="201">
        <f t="shared" si="1"/>
        <v>87760.06999999998</v>
      </c>
      <c r="M20" s="254">
        <f t="shared" si="2"/>
        <v>1.5481352423947543</v>
      </c>
      <c r="N20" s="197">
        <f>N21+N30+N31+N32</f>
        <v>18902.83</v>
      </c>
      <c r="O20" s="200">
        <f>F20-серпень!F20</f>
        <v>19191.709999999992</v>
      </c>
      <c r="P20" s="201">
        <f t="shared" si="6"/>
        <v>288.8799999999901</v>
      </c>
      <c r="Q20" s="198">
        <f t="shared" si="9"/>
        <v>101.5282367772444</v>
      </c>
      <c r="R20" s="113"/>
      <c r="S20" s="114"/>
      <c r="T20" s="186">
        <f t="shared" si="8"/>
        <v>69740.71000000002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135815.81</v>
      </c>
      <c r="G21" s="190">
        <f t="shared" si="0"/>
        <v>1735.0199999999895</v>
      </c>
      <c r="H21" s="197">
        <f t="shared" si="3"/>
        <v>101.29401087210181</v>
      </c>
      <c r="I21" s="198">
        <f t="shared" si="4"/>
        <v>-39083.84</v>
      </c>
      <c r="J21" s="198">
        <f t="shared" si="5"/>
        <v>77.65356305744466</v>
      </c>
      <c r="K21" s="198">
        <v>88979.33</v>
      </c>
      <c r="L21" s="201">
        <f t="shared" si="1"/>
        <v>46836.479999999996</v>
      </c>
      <c r="M21" s="254">
        <f t="shared" si="2"/>
        <v>1.5263748333461264</v>
      </c>
      <c r="N21" s="197">
        <f>N22+N25+N26</f>
        <v>13311.830000000004</v>
      </c>
      <c r="O21" s="200">
        <f>F21-серпень!F21</f>
        <v>14135.839999999997</v>
      </c>
      <c r="P21" s="201">
        <f t="shared" si="6"/>
        <v>824.0099999999929</v>
      </c>
      <c r="Q21" s="198">
        <f t="shared" si="9"/>
        <v>106.19005801606536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15758.82</v>
      </c>
      <c r="G22" s="212">
        <f t="shared" si="0"/>
        <v>634.3400000000001</v>
      </c>
      <c r="H22" s="214">
        <f t="shared" si="3"/>
        <v>104.19412766587676</v>
      </c>
      <c r="I22" s="215">
        <f t="shared" si="4"/>
        <v>-2741.1800000000003</v>
      </c>
      <c r="J22" s="215">
        <f t="shared" si="5"/>
        <v>85.1828108108108</v>
      </c>
      <c r="K22" s="216">
        <v>9131.68</v>
      </c>
      <c r="L22" s="206">
        <f t="shared" si="1"/>
        <v>6627.139999999999</v>
      </c>
      <c r="M22" s="262">
        <f t="shared" si="2"/>
        <v>1.7257306432113257</v>
      </c>
      <c r="N22" s="214">
        <f>E22-серпень!E22</f>
        <v>547.5799999999999</v>
      </c>
      <c r="O22" s="217">
        <f>F22-серпень!F22</f>
        <v>885.3500000000004</v>
      </c>
      <c r="P22" s="218">
        <f t="shared" si="6"/>
        <v>337.77000000000044</v>
      </c>
      <c r="Q22" s="215">
        <f t="shared" si="9"/>
        <v>161.68413747762892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668.85</v>
      </c>
      <c r="G23" s="241">
        <f t="shared" si="0"/>
        <v>-355.55000000000007</v>
      </c>
      <c r="H23" s="242">
        <f t="shared" si="3"/>
        <v>65.29187817258882</v>
      </c>
      <c r="I23" s="243">
        <f t="shared" si="4"/>
        <v>-1331.15</v>
      </c>
      <c r="J23" s="243">
        <f t="shared" si="5"/>
        <v>33.4425</v>
      </c>
      <c r="K23" s="261">
        <v>574.07</v>
      </c>
      <c r="L23" s="261">
        <f t="shared" si="1"/>
        <v>94.77999999999997</v>
      </c>
      <c r="M23" s="263">
        <f t="shared" si="2"/>
        <v>1.1651018168516034</v>
      </c>
      <c r="N23" s="239">
        <f>E23-серпень!E23</f>
        <v>150.0000000000001</v>
      </c>
      <c r="O23" s="239">
        <f>F23-серпень!F23</f>
        <v>45.210000000000036</v>
      </c>
      <c r="P23" s="240">
        <f t="shared" si="6"/>
        <v>-104.79000000000008</v>
      </c>
      <c r="Q23" s="240">
        <f t="shared" si="9"/>
        <v>30.14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15089.97</v>
      </c>
      <c r="G24" s="241">
        <f t="shared" si="0"/>
        <v>989.8899999999994</v>
      </c>
      <c r="H24" s="242">
        <f t="shared" si="3"/>
        <v>107.02045662152271</v>
      </c>
      <c r="I24" s="243">
        <f t="shared" si="4"/>
        <v>-1410.0300000000007</v>
      </c>
      <c r="J24" s="243">
        <f t="shared" si="5"/>
        <v>91.45436363636364</v>
      </c>
      <c r="K24" s="261">
        <v>8557.61</v>
      </c>
      <c r="L24" s="261">
        <f t="shared" si="1"/>
        <v>6532.359999999999</v>
      </c>
      <c r="M24" s="263">
        <f t="shared" si="2"/>
        <v>1.7633392968363828</v>
      </c>
      <c r="N24" s="239">
        <f>E24-серпень!E24</f>
        <v>397.5799999999999</v>
      </c>
      <c r="O24" s="239">
        <f>F24-серпень!F24</f>
        <v>840.1399999999994</v>
      </c>
      <c r="P24" s="240">
        <f t="shared" si="6"/>
        <v>442.5599999999995</v>
      </c>
      <c r="Q24" s="240">
        <f t="shared" si="9"/>
        <v>211.31344635041995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777.34</v>
      </c>
      <c r="G25" s="212">
        <f t="shared" si="0"/>
        <v>-150</v>
      </c>
      <c r="H25" s="214">
        <f t="shared" si="3"/>
        <v>83.82470291371018</v>
      </c>
      <c r="I25" s="215">
        <f t="shared" si="4"/>
        <v>-222.65999999999997</v>
      </c>
      <c r="J25" s="215">
        <f t="shared" si="5"/>
        <v>77.73400000000001</v>
      </c>
      <c r="K25" s="215">
        <v>3333.63</v>
      </c>
      <c r="L25" s="215">
        <f t="shared" si="1"/>
        <v>-2556.29</v>
      </c>
      <c r="M25" s="257">
        <f t="shared" si="2"/>
        <v>0.23318124686902866</v>
      </c>
      <c r="N25" s="214">
        <f>E25-серпень!E25</f>
        <v>34.200000000000045</v>
      </c>
      <c r="O25" s="217">
        <f>F25-серпень!F25</f>
        <v>108.34000000000003</v>
      </c>
      <c r="P25" s="218">
        <f t="shared" si="6"/>
        <v>74.13999999999999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119279.65</v>
      </c>
      <c r="G26" s="212">
        <f t="shared" si="0"/>
        <v>1250.679999999993</v>
      </c>
      <c r="H26" s="214">
        <f t="shared" si="3"/>
        <v>101.05963815493773</v>
      </c>
      <c r="I26" s="215">
        <f t="shared" si="4"/>
        <v>-36120</v>
      </c>
      <c r="J26" s="215">
        <f t="shared" si="5"/>
        <v>76.7567044069919</v>
      </c>
      <c r="K26" s="216">
        <v>76514.01</v>
      </c>
      <c r="L26" s="216">
        <f t="shared" si="1"/>
        <v>42765.64</v>
      </c>
      <c r="M26" s="256">
        <f t="shared" si="2"/>
        <v>1.558925613753612</v>
      </c>
      <c r="N26" s="214">
        <f>E26-серпень!E26</f>
        <v>12730.050000000003</v>
      </c>
      <c r="O26" s="217">
        <f>F26-серпень!F26</f>
        <v>13142.149999999994</v>
      </c>
      <c r="P26" s="218">
        <f t="shared" si="6"/>
        <v>412.09999999999127</v>
      </c>
      <c r="Q26" s="215">
        <f>O26/N26*100</f>
        <v>103.23722216330644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37996.12</v>
      </c>
      <c r="G27" s="241">
        <f t="shared" si="0"/>
        <v>1114.3199999999997</v>
      </c>
      <c r="H27" s="242">
        <f t="shared" si="3"/>
        <v>103.0213275924711</v>
      </c>
      <c r="I27" s="243">
        <f t="shared" si="4"/>
        <v>-9370.879999999997</v>
      </c>
      <c r="J27" s="243">
        <f t="shared" si="5"/>
        <v>80.21643760423925</v>
      </c>
      <c r="K27" s="261">
        <v>20770.43</v>
      </c>
      <c r="L27" s="261">
        <f t="shared" si="1"/>
        <v>17225.690000000002</v>
      </c>
      <c r="M27" s="263">
        <f t="shared" si="2"/>
        <v>1.8293371875305424</v>
      </c>
      <c r="N27" s="239">
        <f>E27-серпень!E27</f>
        <v>3590.050000000003</v>
      </c>
      <c r="O27" s="239">
        <f>F27-серпень!F27</f>
        <v>3958.300000000003</v>
      </c>
      <c r="P27" s="240">
        <f t="shared" si="6"/>
        <v>368.25</v>
      </c>
      <c r="Q27" s="240">
        <f>O27/N27*100</f>
        <v>110.25751730477292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81283.52</v>
      </c>
      <c r="G28" s="241">
        <f t="shared" si="0"/>
        <v>136.35000000000582</v>
      </c>
      <c r="H28" s="242">
        <f t="shared" si="3"/>
        <v>100.16802804090396</v>
      </c>
      <c r="I28" s="243">
        <f t="shared" si="4"/>
        <v>-26749.12999999999</v>
      </c>
      <c r="J28" s="243">
        <f t="shared" si="5"/>
        <v>75.23977242065247</v>
      </c>
      <c r="K28" s="261">
        <v>55743.59</v>
      </c>
      <c r="L28" s="261">
        <f t="shared" si="1"/>
        <v>25539.930000000008</v>
      </c>
      <c r="M28" s="263">
        <f t="shared" si="2"/>
        <v>1.4581680153718124</v>
      </c>
      <c r="N28" s="239">
        <f>E28-серпень!E28</f>
        <v>9140</v>
      </c>
      <c r="O28" s="239">
        <f>F28-серпень!F28</f>
        <v>9183.850000000006</v>
      </c>
      <c r="P28" s="240">
        <f t="shared" si="6"/>
        <v>43.85000000000582</v>
      </c>
      <c r="Q28" s="240">
        <f>O28/N28*100</f>
        <v>100.47975929978124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-705.98</v>
      </c>
      <c r="L31" s="198">
        <f t="shared" si="1"/>
        <v>545.88</v>
      </c>
      <c r="M31" s="255">
        <f>F31/K31</f>
        <v>0.2267769625201847</v>
      </c>
      <c r="N31" s="197">
        <f>E31-серпень!E31</f>
        <v>0</v>
      </c>
      <c r="O31" s="200">
        <f>F31-серпень!F31</f>
        <v>-9.870000000000005</v>
      </c>
      <c r="P31" s="201">
        <f t="shared" si="6"/>
        <v>-9.870000000000005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110699.84+1500-100</f>
        <v>112099.84</v>
      </c>
      <c r="F32" s="203">
        <v>112122.86</v>
      </c>
      <c r="G32" s="202">
        <f t="shared" si="0"/>
        <v>23.020000000004075</v>
      </c>
      <c r="H32" s="204">
        <f t="shared" si="3"/>
        <v>100.020535265706</v>
      </c>
      <c r="I32" s="205">
        <f t="shared" si="4"/>
        <v>-28877.14</v>
      </c>
      <c r="J32" s="205">
        <f t="shared" si="5"/>
        <v>79.51975886524822</v>
      </c>
      <c r="K32" s="219">
        <v>71777.4</v>
      </c>
      <c r="L32" s="219">
        <f>F32-K32</f>
        <v>40345.46000000001</v>
      </c>
      <c r="M32" s="411">
        <f>F32/K32</f>
        <v>1.5620914103882282</v>
      </c>
      <c r="N32" s="197">
        <f>E32-серпень!E32</f>
        <v>5584</v>
      </c>
      <c r="O32" s="200">
        <f>F32-серпень!F32</f>
        <v>5063.740000000005</v>
      </c>
      <c r="P32" s="207">
        <f t="shared" si="6"/>
        <v>-520.2599999999948</v>
      </c>
      <c r="Q32" s="205">
        <f>O32/N32*100</f>
        <v>90.6830229226362</v>
      </c>
      <c r="R32" s="113"/>
      <c r="S32" s="114"/>
      <c r="T32" s="186">
        <f t="shared" si="8"/>
        <v>28900.160000000003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28340.41</v>
      </c>
      <c r="G34" s="109">
        <f t="shared" si="0"/>
        <v>-22.56000000000131</v>
      </c>
      <c r="H34" s="111">
        <f t="shared" si="3"/>
        <v>99.92045966977365</v>
      </c>
      <c r="I34" s="110">
        <f t="shared" si="4"/>
        <v>-5876.59</v>
      </c>
      <c r="J34" s="110">
        <f t="shared" si="5"/>
        <v>82.82552532366952</v>
      </c>
      <c r="K34" s="142">
        <v>17739.76</v>
      </c>
      <c r="L34" s="142">
        <f t="shared" si="1"/>
        <v>10600.650000000001</v>
      </c>
      <c r="M34" s="264">
        <f t="shared" si="10"/>
        <v>1.597564454085061</v>
      </c>
      <c r="N34" s="111">
        <f>E34-серпень!E34</f>
        <v>1400</v>
      </c>
      <c r="O34" s="179">
        <f>F34-серпень!F34</f>
        <v>957.3299999999981</v>
      </c>
      <c r="P34" s="112">
        <f t="shared" si="6"/>
        <v>-442.6700000000019</v>
      </c>
      <c r="Q34" s="110">
        <f>O34/N34*100</f>
        <v>68.38071428571415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82820.08+1000-100</f>
        <v>83720.08</v>
      </c>
      <c r="F35" s="171">
        <v>83755.8</v>
      </c>
      <c r="G35" s="109">
        <f t="shared" si="0"/>
        <v>35.720000000001164</v>
      </c>
      <c r="H35" s="111">
        <f t="shared" si="3"/>
        <v>100.04266598885239</v>
      </c>
      <c r="I35" s="110">
        <f t="shared" si="4"/>
        <v>-22976.199999999997</v>
      </c>
      <c r="J35" s="110">
        <f t="shared" si="5"/>
        <v>78.47299778885433</v>
      </c>
      <c r="K35" s="142">
        <v>54015.97</v>
      </c>
      <c r="L35" s="142">
        <f t="shared" si="1"/>
        <v>29739.83</v>
      </c>
      <c r="M35" s="264">
        <f t="shared" si="10"/>
        <v>1.550574765203698</v>
      </c>
      <c r="N35" s="111">
        <f>E35-серпень!E35</f>
        <v>4184</v>
      </c>
      <c r="O35" s="179">
        <f>F35-серпень!F35</f>
        <v>4105</v>
      </c>
      <c r="P35" s="112">
        <f t="shared" si="6"/>
        <v>-79</v>
      </c>
      <c r="Q35" s="110">
        <f>O35/N35*100</f>
        <v>98.11185468451242</v>
      </c>
      <c r="R35" s="113"/>
      <c r="S35" s="114"/>
      <c r="T35" s="186">
        <f t="shared" si="8"/>
        <v>23011.92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22.84</v>
      </c>
      <c r="L36" s="142">
        <f t="shared" si="1"/>
        <v>3.580000000000002</v>
      </c>
      <c r="M36" s="264">
        <f t="shared" si="10"/>
        <v>1.1567425569176883</v>
      </c>
      <c r="N36" s="111">
        <f>E36-серпень!E36</f>
        <v>0</v>
      </c>
      <c r="O36" s="179">
        <f>F36-серпень!F36</f>
        <v>1.4200000000000017</v>
      </c>
      <c r="P36" s="112">
        <f t="shared" si="6"/>
        <v>1.4200000000000017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49446.89000000001</v>
      </c>
      <c r="G38" s="191">
        <f>G39+G40+G41+G42+G43+G45+G47+G48+G49+G50+G51+G56+G57+G61</f>
        <v>294.7100000000019</v>
      </c>
      <c r="H38" s="192">
        <f>F38/E38*100</f>
        <v>100.65518535052296</v>
      </c>
      <c r="I38" s="193">
        <f>F38-D38</f>
        <v>-12395.589999999997</v>
      </c>
      <c r="J38" s="193">
        <f>F38/D38*100</f>
        <v>79.95618869100981</v>
      </c>
      <c r="K38" s="191">
        <v>28244.63</v>
      </c>
      <c r="L38" s="191">
        <f t="shared" si="1"/>
        <v>21202.260000000006</v>
      </c>
      <c r="M38" s="250">
        <f t="shared" si="10"/>
        <v>1.7506651706890834</v>
      </c>
      <c r="N38" s="191">
        <f>N39+N40+N41+N42+N43+N45+N47+N48+N49+N50+N51+N56+N57+N61+N44</f>
        <v>6064</v>
      </c>
      <c r="O38" s="191">
        <f>O39+O40+O41+O42+O43+O45+O47+O48+O49+O50+O51+O56+O57+O61+O44</f>
        <v>6458.610000000001</v>
      </c>
      <c r="P38" s="191">
        <f>P39+P40+P41+P42+P43+P45+P47+P48+P49+P50+P51+P56+P57+P61</f>
        <v>394.61000000000104</v>
      </c>
      <c r="Q38" s="191">
        <f>O38/N38*100</f>
        <v>106.50742084432719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197.12</v>
      </c>
      <c r="G43" s="202">
        <f t="shared" si="13"/>
        <v>107.12</v>
      </c>
      <c r="H43" s="204">
        <f t="shared" si="11"/>
        <v>219.02222222222224</v>
      </c>
      <c r="I43" s="205">
        <f t="shared" si="14"/>
        <v>47.120000000000005</v>
      </c>
      <c r="J43" s="205">
        <f t="shared" si="16"/>
        <v>131.41333333333333</v>
      </c>
      <c r="K43" s="205">
        <v>117.11</v>
      </c>
      <c r="L43" s="205">
        <f t="shared" si="1"/>
        <v>80.01</v>
      </c>
      <c r="M43" s="266">
        <f t="shared" si="17"/>
        <v>1.6832038254632398</v>
      </c>
      <c r="N43" s="204">
        <f>E43-серпень!E43</f>
        <v>10</v>
      </c>
      <c r="O43" s="208">
        <f>F43-серпень!F43</f>
        <v>2</v>
      </c>
      <c r="P43" s="207">
        <f t="shared" si="15"/>
        <v>-8</v>
      </c>
      <c r="Q43" s="205">
        <f t="shared" si="12"/>
        <v>20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428.63</v>
      </c>
      <c r="G45" s="202">
        <f t="shared" si="13"/>
        <v>164.63</v>
      </c>
      <c r="H45" s="204">
        <f t="shared" si="11"/>
        <v>162.35984848484847</v>
      </c>
      <c r="I45" s="205">
        <f t="shared" si="14"/>
        <v>128.63</v>
      </c>
      <c r="J45" s="205">
        <f t="shared" si="16"/>
        <v>142.87666666666667</v>
      </c>
      <c r="K45" s="205">
        <v>0</v>
      </c>
      <c r="L45" s="205">
        <f t="shared" si="1"/>
        <v>428.63</v>
      </c>
      <c r="M45" s="266"/>
      <c r="N45" s="204">
        <f>E45-серпень!E45</f>
        <v>8</v>
      </c>
      <c r="O45" s="208">
        <f>F45-серпень!F45</f>
        <v>100.51999999999998</v>
      </c>
      <c r="P45" s="207">
        <f t="shared" si="15"/>
        <v>92.51999999999998</v>
      </c>
      <c r="Q45" s="205">
        <f t="shared" si="12"/>
        <v>1256.4999999999998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8067.74</v>
      </c>
      <c r="G47" s="202">
        <f t="shared" si="13"/>
        <v>218.71999999999935</v>
      </c>
      <c r="H47" s="204">
        <f t="shared" si="11"/>
        <v>102.78658991823181</v>
      </c>
      <c r="I47" s="205">
        <f t="shared" si="14"/>
        <v>-1832.2600000000002</v>
      </c>
      <c r="J47" s="205">
        <f t="shared" si="16"/>
        <v>81.49232323232323</v>
      </c>
      <c r="K47" s="205">
        <v>7605.46</v>
      </c>
      <c r="L47" s="205">
        <f t="shared" si="1"/>
        <v>462.27999999999975</v>
      </c>
      <c r="M47" s="266">
        <f t="shared" si="17"/>
        <v>1.0607826482553324</v>
      </c>
      <c r="N47" s="204">
        <f>E47-серпень!E47</f>
        <v>800</v>
      </c>
      <c r="O47" s="208">
        <f>F47-серпень!F47</f>
        <v>1005.0999999999995</v>
      </c>
      <c r="P47" s="207">
        <f t="shared" si="15"/>
        <v>205.09999999999945</v>
      </c>
      <c r="Q47" s="205">
        <f t="shared" si="12"/>
        <v>125.63749999999993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210.12</v>
      </c>
      <c r="G48" s="202">
        <f t="shared" si="13"/>
        <v>-439.88</v>
      </c>
      <c r="H48" s="204">
        <f t="shared" si="11"/>
        <v>32.32615384615385</v>
      </c>
      <c r="I48" s="205">
        <f t="shared" si="14"/>
        <v>-439.88</v>
      </c>
      <c r="J48" s="205">
        <f t="shared" si="16"/>
        <v>32.32615384615385</v>
      </c>
      <c r="K48" s="205">
        <v>0</v>
      </c>
      <c r="L48" s="205">
        <f t="shared" si="1"/>
        <v>210.12</v>
      </c>
      <c r="M48" s="266"/>
      <c r="N48" s="204">
        <f>E48-серпень!E48</f>
        <v>0</v>
      </c>
      <c r="O48" s="208">
        <f>F48-серпень!F48</f>
        <v>41.860000000000014</v>
      </c>
      <c r="P48" s="207">
        <f t="shared" si="15"/>
        <v>41.860000000000014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16.68</v>
      </c>
      <c r="G49" s="202">
        <f t="shared" si="13"/>
        <v>-15.32</v>
      </c>
      <c r="H49" s="204">
        <f t="shared" si="11"/>
        <v>52.125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E49-серпень!E49</f>
        <v>4</v>
      </c>
      <c r="O49" s="208">
        <f>F49-серпень!F49</f>
        <v>1.2400000000000002</v>
      </c>
      <c r="P49" s="207">
        <f t="shared" si="15"/>
        <v>-2.76</v>
      </c>
      <c r="Q49" s="205">
        <f t="shared" si="12"/>
        <v>31.000000000000007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4925.62</v>
      </c>
      <c r="G51" s="202">
        <f t="shared" si="13"/>
        <v>14.430000000000291</v>
      </c>
      <c r="H51" s="204">
        <f t="shared" si="11"/>
        <v>100.29381880969785</v>
      </c>
      <c r="I51" s="205">
        <f t="shared" si="14"/>
        <v>-2074.42</v>
      </c>
      <c r="J51" s="205">
        <f t="shared" si="16"/>
        <v>70.36559791086908</v>
      </c>
      <c r="K51" s="205">
        <v>5721.95</v>
      </c>
      <c r="L51" s="205">
        <f t="shared" si="1"/>
        <v>-796.3299999999999</v>
      </c>
      <c r="M51" s="266">
        <f t="shared" si="17"/>
        <v>0.8608289132201435</v>
      </c>
      <c r="N51" s="204">
        <f>E51-серпень!E51</f>
        <v>520</v>
      </c>
      <c r="O51" s="208">
        <f>F51-серпень!F51</f>
        <v>578.0100000000002</v>
      </c>
      <c r="P51" s="207">
        <f t="shared" si="15"/>
        <v>58.01000000000022</v>
      </c>
      <c r="Q51" s="205">
        <f t="shared" si="12"/>
        <v>111.15576923076927</v>
      </c>
      <c r="R51" s="42"/>
      <c r="S51" s="100"/>
      <c r="T51" s="186">
        <f t="shared" si="8"/>
        <v>2088.8500000000004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643.11</v>
      </c>
      <c r="G52" s="36">
        <f t="shared" si="13"/>
        <v>-40.879999999999995</v>
      </c>
      <c r="H52" s="32">
        <f t="shared" si="11"/>
        <v>94.02330443427536</v>
      </c>
      <c r="I52" s="110">
        <f t="shared" si="14"/>
        <v>-326.89</v>
      </c>
      <c r="J52" s="110">
        <f t="shared" si="16"/>
        <v>66.3</v>
      </c>
      <c r="K52" s="110">
        <v>801.84</v>
      </c>
      <c r="L52" s="110">
        <f>F52-K52</f>
        <v>-158.73000000000002</v>
      </c>
      <c r="M52" s="115">
        <f t="shared" si="17"/>
        <v>0.8020428015564203</v>
      </c>
      <c r="N52" s="111">
        <f>E52-серпень!E52</f>
        <v>20</v>
      </c>
      <c r="O52" s="179">
        <f>F52-серпень!F52</f>
        <v>72.98000000000002</v>
      </c>
      <c r="P52" s="112">
        <f t="shared" si="15"/>
        <v>52.98000000000002</v>
      </c>
      <c r="Q52" s="132">
        <f t="shared" si="12"/>
        <v>364.9000000000001</v>
      </c>
      <c r="R52" s="42"/>
      <c r="S52" s="100"/>
      <c r="T52" s="186">
        <f t="shared" si="8"/>
        <v>286.01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4282.22</v>
      </c>
      <c r="G55" s="36">
        <f t="shared" si="13"/>
        <v>60.05000000000018</v>
      </c>
      <c r="H55" s="32">
        <f t="shared" si="11"/>
        <v>101.42225443314695</v>
      </c>
      <c r="I55" s="110">
        <f t="shared" si="14"/>
        <v>-1741.7799999999997</v>
      </c>
      <c r="J55" s="110">
        <f t="shared" si="16"/>
        <v>71.08598937583001</v>
      </c>
      <c r="K55" s="110">
        <v>4875.29</v>
      </c>
      <c r="L55" s="110">
        <f>F55-K55</f>
        <v>-593.0699999999997</v>
      </c>
      <c r="M55" s="115">
        <f t="shared" si="17"/>
        <v>0.8783518518898363</v>
      </c>
      <c r="N55" s="111">
        <f>E55-серпень!E55</f>
        <v>500</v>
      </c>
      <c r="O55" s="179">
        <f>F55-серпень!F55</f>
        <v>505.0300000000002</v>
      </c>
      <c r="P55" s="112">
        <f t="shared" si="15"/>
        <v>5.0300000000002</v>
      </c>
      <c r="Q55" s="132">
        <f t="shared" si="12"/>
        <v>101.00600000000004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5154.13</v>
      </c>
      <c r="G57" s="202">
        <f t="shared" si="13"/>
        <v>516.1500000000005</v>
      </c>
      <c r="H57" s="204">
        <f t="shared" si="11"/>
        <v>111.12876726505938</v>
      </c>
      <c r="I57" s="205">
        <f t="shared" si="14"/>
        <v>4.130000000000109</v>
      </c>
      <c r="J57" s="205">
        <f t="shared" si="16"/>
        <v>100.08019417475728</v>
      </c>
      <c r="K57" s="205">
        <v>3571.45</v>
      </c>
      <c r="L57" s="205">
        <f aca="true" t="shared" si="18" ref="L57:L63">F57-K57</f>
        <v>1582.6800000000003</v>
      </c>
      <c r="M57" s="266">
        <f t="shared" si="17"/>
        <v>1.4431477411135534</v>
      </c>
      <c r="N57" s="204">
        <f>E57-серпень!E57</f>
        <v>370</v>
      </c>
      <c r="O57" s="208">
        <f>F57-серпень!F57</f>
        <v>552.3000000000002</v>
      </c>
      <c r="P57" s="207">
        <f t="shared" si="15"/>
        <v>182.30000000000018</v>
      </c>
      <c r="Q57" s="205">
        <f t="shared" si="12"/>
        <v>149.27027027027032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1002.35</v>
      </c>
      <c r="G59" s="202"/>
      <c r="H59" s="204"/>
      <c r="I59" s="205"/>
      <c r="J59" s="205"/>
      <c r="K59" s="206">
        <v>979.24</v>
      </c>
      <c r="L59" s="205">
        <f t="shared" si="18"/>
        <v>23.110000000000014</v>
      </c>
      <c r="M59" s="266">
        <f t="shared" si="17"/>
        <v>1.0235999346431928</v>
      </c>
      <c r="N59" s="204"/>
      <c r="O59" s="208">
        <f>F59-серпень!F59</f>
        <v>112.55000000000007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754995.14</v>
      </c>
      <c r="F64" s="191">
        <f>F8+F38+F62+F63</f>
        <v>757500.1000000001</v>
      </c>
      <c r="G64" s="191">
        <f>F64-E64</f>
        <v>2504.960000000079</v>
      </c>
      <c r="H64" s="192">
        <f>F64/E64*100</f>
        <v>100.33178491718505</v>
      </c>
      <c r="I64" s="193">
        <f>F64-D64</f>
        <v>-261444.63</v>
      </c>
      <c r="J64" s="193">
        <f>F64/D64*100</f>
        <v>74.34162793108513</v>
      </c>
      <c r="K64" s="193">
        <v>509138.63</v>
      </c>
      <c r="L64" s="193">
        <f>F64-K64</f>
        <v>248361.4700000001</v>
      </c>
      <c r="M64" s="267">
        <f>F64/K64</f>
        <v>1.4878071616761825</v>
      </c>
      <c r="N64" s="191">
        <f>N8+N38+N62+N63</f>
        <v>82559.13</v>
      </c>
      <c r="O64" s="191">
        <f>O8+O38+O62+O63</f>
        <v>80976.43999999999</v>
      </c>
      <c r="P64" s="195">
        <f>O64-N64</f>
        <v>-1582.6900000000169</v>
      </c>
      <c r="Q64" s="193">
        <f>O64/N64*100</f>
        <v>98.08296187229683</v>
      </c>
      <c r="R64" s="28">
        <f>O64-34768</f>
        <v>46208.43999999999</v>
      </c>
      <c r="S64" s="128">
        <f>O64/34768</f>
        <v>2.32905085135757</v>
      </c>
      <c r="T64" s="186">
        <f t="shared" si="8"/>
        <v>263949.5900000001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</v>
      </c>
      <c r="L73" s="207">
        <f aca="true" t="shared" si="21" ref="L73:L83">F73-K73</f>
        <v>960.85</v>
      </c>
      <c r="M73" s="254">
        <f>F73/K73</f>
        <v>2.6200472095768</v>
      </c>
      <c r="N73" s="204">
        <f>E73-серпень!E73</f>
        <v>500</v>
      </c>
      <c r="O73" s="208">
        <f>F73-серпень!F73</f>
        <v>18.779999999999973</v>
      </c>
      <c r="P73" s="207">
        <f aca="true" t="shared" si="22" ref="P73:P86">O73-N73</f>
        <v>-481.22</v>
      </c>
      <c r="Q73" s="207">
        <f>O73/N73*100</f>
        <v>3.755999999999995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6903.45</v>
      </c>
      <c r="G74" s="202">
        <f t="shared" si="19"/>
        <v>2211.24</v>
      </c>
      <c r="H74" s="204">
        <f>F74/E74*100</f>
        <v>147.12576802828517</v>
      </c>
      <c r="I74" s="207">
        <f t="shared" si="20"/>
        <v>-555.5500000000002</v>
      </c>
      <c r="J74" s="207">
        <f>F74/D74*100</f>
        <v>92.55195066362782</v>
      </c>
      <c r="K74" s="207">
        <v>3987.63</v>
      </c>
      <c r="L74" s="207">
        <f t="shared" si="21"/>
        <v>2915.8199999999997</v>
      </c>
      <c r="M74" s="254">
        <f>F74/K74</f>
        <v>1.7312162863655856</v>
      </c>
      <c r="N74" s="204">
        <f>E74-серпень!E74</f>
        <v>815</v>
      </c>
      <c r="O74" s="208">
        <f>F74-серпень!F74</f>
        <v>119.92000000000007</v>
      </c>
      <c r="P74" s="207">
        <f t="shared" si="22"/>
        <v>-695.0799999999999</v>
      </c>
      <c r="Q74" s="207">
        <f>O74/N74*100</f>
        <v>14.714110429447864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12116.42</v>
      </c>
      <c r="G75" s="202">
        <f t="shared" si="19"/>
        <v>9417.57</v>
      </c>
      <c r="H75" s="204">
        <f>F75/E75*100</f>
        <v>448.9475146821794</v>
      </c>
      <c r="I75" s="207">
        <f t="shared" si="20"/>
        <v>6116.42</v>
      </c>
      <c r="J75" s="207">
        <f>F75/D75*100</f>
        <v>201.94033333333334</v>
      </c>
      <c r="K75" s="207">
        <v>1859.08</v>
      </c>
      <c r="L75" s="207">
        <f t="shared" si="21"/>
        <v>10257.34</v>
      </c>
      <c r="M75" s="254">
        <f>F75/K75</f>
        <v>6.517427975127482</v>
      </c>
      <c r="N75" s="204">
        <f>E75-серпень!E75</f>
        <v>302</v>
      </c>
      <c r="O75" s="208">
        <f>F75-серпень!F75</f>
        <v>1639.2800000000007</v>
      </c>
      <c r="P75" s="207">
        <f t="shared" si="22"/>
        <v>1337.2800000000007</v>
      </c>
      <c r="Q75" s="207">
        <f>O75/N75*100</f>
        <v>542.8079470198678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/>
      <c r="L76" s="207">
        <f t="shared" si="21"/>
        <v>10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20583.82</v>
      </c>
      <c r="G77" s="226">
        <f t="shared" si="19"/>
        <v>10483.76</v>
      </c>
      <c r="H77" s="227">
        <f>F77/E77*100</f>
        <v>203.7989873327485</v>
      </c>
      <c r="I77" s="228">
        <f t="shared" si="20"/>
        <v>2912.8199999999997</v>
      </c>
      <c r="J77" s="228">
        <f>F77/D77*100</f>
        <v>116.48361722596343</v>
      </c>
      <c r="K77" s="228">
        <v>6439.8</v>
      </c>
      <c r="L77" s="228">
        <f t="shared" si="21"/>
        <v>14144.02</v>
      </c>
      <c r="M77" s="260">
        <f>F77/K77</f>
        <v>3.1963446069753716</v>
      </c>
      <c r="N77" s="226">
        <f>N73+N74+N75+N76</f>
        <v>1618</v>
      </c>
      <c r="O77" s="230">
        <f>O73+O74+O75+O76</f>
        <v>1781.9800000000007</v>
      </c>
      <c r="P77" s="228">
        <f t="shared" si="22"/>
        <v>163.9800000000007</v>
      </c>
      <c r="Q77" s="228">
        <f>O77/N77*100</f>
        <v>110.13473423980227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E78-серпень!E78</f>
        <v>0</v>
      </c>
      <c r="O78" s="208">
        <f>F78-серпень!F78</f>
        <v>30.11</v>
      </c>
      <c r="P78" s="207">
        <f t="shared" si="22"/>
        <v>30.11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6825.67</v>
      </c>
      <c r="G80" s="202">
        <f t="shared" si="19"/>
        <v>-798.3299999999999</v>
      </c>
      <c r="H80" s="204">
        <f>F80/E80*100</f>
        <v>89.52872507869884</v>
      </c>
      <c r="I80" s="207">
        <f t="shared" si="20"/>
        <v>-2674.33</v>
      </c>
      <c r="J80" s="207">
        <f>F80/D80*100</f>
        <v>71.84915789473685</v>
      </c>
      <c r="K80" s="207">
        <v>0</v>
      </c>
      <c r="L80" s="207">
        <f t="shared" si="21"/>
        <v>6825.67</v>
      </c>
      <c r="M80" s="254"/>
      <c r="N80" s="204">
        <f>E80-серпень!E80</f>
        <v>0.3999999999996362</v>
      </c>
      <c r="O80" s="208">
        <f>F80-серпень!F80</f>
        <v>0.8400000000001455</v>
      </c>
      <c r="P80" s="207">
        <f>O80-N80</f>
        <v>0.4400000000005093</v>
      </c>
      <c r="Q80" s="231">
        <f>O80/N80*100</f>
        <v>210.00000000022737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</v>
      </c>
      <c r="L81" s="207">
        <f t="shared" si="21"/>
        <v>0.21999999999999997</v>
      </c>
      <c r="M81" s="254">
        <f>F81/K81</f>
        <v>1.22</v>
      </c>
      <c r="N81" s="204">
        <f>E81-серпень!E81</f>
        <v>0</v>
      </c>
      <c r="O81" s="208">
        <f>F81-серпень!F81</f>
        <v>0.1299999999999999</v>
      </c>
      <c r="P81" s="207">
        <f t="shared" si="22"/>
        <v>0.1299999999999999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6862.67</v>
      </c>
      <c r="G82" s="224">
        <f>G78+G81+G79+G80</f>
        <v>-761.3299999999999</v>
      </c>
      <c r="H82" s="227">
        <f>F82/E82*100</f>
        <v>90.01403462749214</v>
      </c>
      <c r="I82" s="228">
        <f t="shared" si="20"/>
        <v>-2638.33</v>
      </c>
      <c r="J82" s="228">
        <f>F82/D82*100</f>
        <v>72.23102831280917</v>
      </c>
      <c r="K82" s="228">
        <v>1.35</v>
      </c>
      <c r="L82" s="228">
        <f t="shared" si="21"/>
        <v>6861.32</v>
      </c>
      <c r="M82" s="268">
        <f>F82/K82</f>
        <v>5083.459259259259</v>
      </c>
      <c r="N82" s="226">
        <f>N78+N81+N79+N80</f>
        <v>0.3999999999996362</v>
      </c>
      <c r="O82" s="230">
        <f>O78+O81+O79+O80</f>
        <v>31.080000000000144</v>
      </c>
      <c r="P82" s="226">
        <f>P78+P81+P79+P80</f>
        <v>30.680000000000508</v>
      </c>
      <c r="Q82" s="228">
        <f>O82/N82*100</f>
        <v>7770.000000007103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26.87</v>
      </c>
      <c r="G83" s="202">
        <f t="shared" si="19"/>
        <v>-2.099999999999998</v>
      </c>
      <c r="H83" s="204">
        <f>F83/E83*100</f>
        <v>92.75112185018986</v>
      </c>
      <c r="I83" s="207">
        <f t="shared" si="20"/>
        <v>-16.13</v>
      </c>
      <c r="J83" s="207">
        <f>F83/D83*100</f>
        <v>62.48837209302326</v>
      </c>
      <c r="K83" s="207">
        <v>29.22</v>
      </c>
      <c r="L83" s="207">
        <f t="shared" si="21"/>
        <v>-2.349999999999998</v>
      </c>
      <c r="M83" s="254">
        <f>F83/K83</f>
        <v>0.9195756331279946</v>
      </c>
      <c r="N83" s="204">
        <f>E83-серпень!E83</f>
        <v>8.169999999999998</v>
      </c>
      <c r="O83" s="208">
        <f>F83-серпень!F83</f>
        <v>7.490000000000002</v>
      </c>
      <c r="P83" s="207">
        <f t="shared" si="22"/>
        <v>-0.6799999999999962</v>
      </c>
      <c r="Q83" s="207">
        <f>O83/N83</f>
        <v>0.9167686658506736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27469.54</v>
      </c>
      <c r="G85" s="233">
        <f>F85-E85</f>
        <v>9716.510000000002</v>
      </c>
      <c r="H85" s="234">
        <f>F85/E85*100</f>
        <v>154.73155850015462</v>
      </c>
      <c r="I85" s="235">
        <f>F85-D85</f>
        <v>254.54000000000087</v>
      </c>
      <c r="J85" s="235">
        <f>F85/D85*100</f>
        <v>100.93529303692816</v>
      </c>
      <c r="K85" s="235">
        <v>6418.88</v>
      </c>
      <c r="L85" s="235">
        <f>F85-K85</f>
        <v>21050.66</v>
      </c>
      <c r="M85" s="269">
        <f>F85/K85</f>
        <v>4.279491126177776</v>
      </c>
      <c r="N85" s="232">
        <f>N71+N83+N77+N82</f>
        <v>1626.5699999999997</v>
      </c>
      <c r="O85" s="232">
        <f>O71+O83+O77+O82+O84</f>
        <v>1820.5500000000009</v>
      </c>
      <c r="P85" s="235">
        <f t="shared" si="22"/>
        <v>193.98000000000116</v>
      </c>
      <c r="Q85" s="235">
        <f>O85/N85*100</f>
        <v>111.92570869990233</v>
      </c>
      <c r="R85" s="28">
        <f>O85-8104.96</f>
        <v>-6284.409999999999</v>
      </c>
      <c r="S85" s="101">
        <f>O85/8104.96</f>
        <v>0.22462171312381565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772748.17</v>
      </c>
      <c r="F86" s="232">
        <f>F64+F85</f>
        <v>784969.6400000001</v>
      </c>
      <c r="G86" s="233">
        <f>F86-E86</f>
        <v>12221.470000000088</v>
      </c>
      <c r="H86" s="234">
        <f>F86/E86*100</f>
        <v>101.58155922905647</v>
      </c>
      <c r="I86" s="235">
        <f>F86-D86</f>
        <v>-261190.08999999997</v>
      </c>
      <c r="J86" s="235">
        <f>F86/D86*100</f>
        <v>75.03344063912688</v>
      </c>
      <c r="K86" s="235">
        <f>K64+K85</f>
        <v>515557.51</v>
      </c>
      <c r="L86" s="235">
        <f>F86-K86</f>
        <v>269412.1300000001</v>
      </c>
      <c r="M86" s="269">
        <f>F86/K86</f>
        <v>1.5225646504499568</v>
      </c>
      <c r="N86" s="233">
        <f>N64+N85</f>
        <v>84185.70000000001</v>
      </c>
      <c r="O86" s="233">
        <f>O64+O85</f>
        <v>82796.98999999999</v>
      </c>
      <c r="P86" s="235">
        <f t="shared" si="22"/>
        <v>-1388.710000000021</v>
      </c>
      <c r="Q86" s="235">
        <f>O86/N86*100</f>
        <v>98.35042055836084</v>
      </c>
      <c r="R86" s="28">
        <f>O86-42872.96</f>
        <v>39924.02999999999</v>
      </c>
      <c r="S86" s="101">
        <f>O86/42872.96</f>
        <v>1.9312170188389137</v>
      </c>
      <c r="T86" s="186">
        <f t="shared" si="23"/>
        <v>273411.56000000006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29"/>
      <c r="H89" s="429"/>
      <c r="I89" s="429"/>
      <c r="J89" s="42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42643</v>
      </c>
      <c r="D90" s="31">
        <v>7462.3</v>
      </c>
      <c r="G90" s="4" t="s">
        <v>59</v>
      </c>
      <c r="O90" s="421"/>
      <c r="P90" s="421"/>
      <c r="T90" s="186">
        <f t="shared" si="23"/>
        <v>7462.3</v>
      </c>
    </row>
    <row r="91" spans="3:16" ht="15">
      <c r="C91" s="87">
        <v>42642</v>
      </c>
      <c r="D91" s="31">
        <v>10407.9</v>
      </c>
      <c r="F91" s="124" t="s">
        <v>59</v>
      </c>
      <c r="G91" s="415"/>
      <c r="H91" s="415"/>
      <c r="I91" s="131"/>
      <c r="J91" s="418"/>
      <c r="K91" s="418"/>
      <c r="L91" s="418"/>
      <c r="M91" s="418"/>
      <c r="N91" s="418"/>
      <c r="O91" s="421"/>
      <c r="P91" s="421"/>
    </row>
    <row r="92" spans="3:16" ht="15.75" customHeight="1">
      <c r="C92" s="87">
        <v>42641</v>
      </c>
      <c r="D92" s="31">
        <v>6835.7</v>
      </c>
      <c r="F92" s="73"/>
      <c r="G92" s="415"/>
      <c r="H92" s="415"/>
      <c r="I92" s="131"/>
      <c r="J92" s="422"/>
      <c r="K92" s="422"/>
      <c r="L92" s="422"/>
      <c r="M92" s="422"/>
      <c r="N92" s="422"/>
      <c r="O92" s="421"/>
      <c r="P92" s="421"/>
    </row>
    <row r="93" spans="3:14" ht="15.75" customHeight="1">
      <c r="C93" s="87"/>
      <c r="F93" s="73"/>
      <c r="G93" s="417"/>
      <c r="H93" s="417"/>
      <c r="I93" s="139"/>
      <c r="J93" s="418"/>
      <c r="K93" s="418"/>
      <c r="L93" s="418"/>
      <c r="M93" s="418"/>
      <c r="N93" s="418"/>
    </row>
    <row r="94" spans="2:14" ht="18.75" customHeight="1">
      <c r="B94" s="419" t="s">
        <v>57</v>
      </c>
      <c r="C94" s="420"/>
      <c r="D94" s="148">
        <v>10150.57106</v>
      </c>
      <c r="E94" s="74"/>
      <c r="F94" s="140" t="s">
        <v>137</v>
      </c>
      <c r="G94" s="415"/>
      <c r="H94" s="415"/>
      <c r="I94" s="141"/>
      <c r="J94" s="418"/>
      <c r="K94" s="418"/>
      <c r="L94" s="418"/>
      <c r="M94" s="418"/>
      <c r="N94" s="418"/>
    </row>
    <row r="95" spans="6:13" ht="9.75" customHeight="1">
      <c r="F95" s="73"/>
      <c r="G95" s="415"/>
      <c r="H95" s="415"/>
      <c r="I95" s="73"/>
      <c r="J95" s="74"/>
      <c r="K95" s="74"/>
      <c r="L95" s="74"/>
      <c r="M95" s="74"/>
    </row>
    <row r="96" spans="2:13" ht="22.5" customHeight="1">
      <c r="B96" s="413" t="s">
        <v>60</v>
      </c>
      <c r="C96" s="414"/>
      <c r="D96" s="86">
        <v>0</v>
      </c>
      <c r="E96" s="56" t="s">
        <v>24</v>
      </c>
      <c r="F96" s="73"/>
      <c r="G96" s="415"/>
      <c r="H96" s="415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946</v>
      </c>
      <c r="F97" s="247">
        <f>F45+F48+F49</f>
        <v>655.43</v>
      </c>
      <c r="G97" s="73">
        <f>G45+G48+G49</f>
        <v>-290.57</v>
      </c>
      <c r="H97" s="74"/>
      <c r="I97" s="74"/>
      <c r="N97" s="31">
        <f>N45+N48+N49</f>
        <v>12</v>
      </c>
      <c r="O97" s="246">
        <f>O45+O48+O49</f>
        <v>143.62</v>
      </c>
      <c r="P97" s="31">
        <f>P45+P48+P49</f>
        <v>131.62</v>
      </c>
    </row>
    <row r="98" spans="4:16" ht="15">
      <c r="D98" s="83"/>
      <c r="I98" s="31"/>
      <c r="O98" s="416"/>
      <c r="P98" s="416"/>
    </row>
    <row r="99" spans="15:16" ht="15">
      <c r="O99" s="415"/>
      <c r="P99" s="415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1" sqref="G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6" t="s">
        <v>196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92"/>
      <c r="S1" s="93"/>
    </row>
    <row r="2" spans="2:19" s="1" customFormat="1" ht="15.75" customHeight="1">
      <c r="B2" s="437"/>
      <c r="C2" s="437"/>
      <c r="D2" s="43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89"/>
      <c r="N3" s="446" t="s">
        <v>193</v>
      </c>
      <c r="O3" s="447" t="s">
        <v>194</v>
      </c>
      <c r="P3" s="447"/>
      <c r="Q3" s="447"/>
      <c r="R3" s="447"/>
      <c r="S3" s="447"/>
    </row>
    <row r="4" spans="1:19" ht="22.5" customHeight="1">
      <c r="A4" s="438"/>
      <c r="B4" s="440"/>
      <c r="C4" s="441"/>
      <c r="D4" s="442"/>
      <c r="E4" s="448" t="s">
        <v>190</v>
      </c>
      <c r="F4" s="430" t="s">
        <v>34</v>
      </c>
      <c r="G4" s="423" t="s">
        <v>191</v>
      </c>
      <c r="H4" s="432" t="s">
        <v>192</v>
      </c>
      <c r="I4" s="423" t="s">
        <v>122</v>
      </c>
      <c r="J4" s="432" t="s">
        <v>123</v>
      </c>
      <c r="K4" s="91" t="s">
        <v>186</v>
      </c>
      <c r="L4" s="249" t="s">
        <v>185</v>
      </c>
      <c r="M4" s="96" t="s">
        <v>64</v>
      </c>
      <c r="N4" s="432"/>
      <c r="O4" s="434" t="s">
        <v>197</v>
      </c>
      <c r="P4" s="423" t="s">
        <v>50</v>
      </c>
      <c r="Q4" s="425" t="s">
        <v>49</v>
      </c>
      <c r="R4" s="97" t="s">
        <v>65</v>
      </c>
      <c r="S4" s="98" t="s">
        <v>64</v>
      </c>
    </row>
    <row r="5" spans="1:19" ht="67.5" customHeight="1">
      <c r="A5" s="439"/>
      <c r="B5" s="440"/>
      <c r="C5" s="441"/>
      <c r="D5" s="442"/>
      <c r="E5" s="449"/>
      <c r="F5" s="431"/>
      <c r="G5" s="424"/>
      <c r="H5" s="433"/>
      <c r="I5" s="424"/>
      <c r="J5" s="433"/>
      <c r="K5" s="426" t="s">
        <v>195</v>
      </c>
      <c r="L5" s="427"/>
      <c r="M5" s="428"/>
      <c r="N5" s="433"/>
      <c r="O5" s="435"/>
      <c r="P5" s="424"/>
      <c r="Q5" s="425"/>
      <c r="R5" s="426" t="s">
        <v>120</v>
      </c>
      <c r="S5" s="42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889.8</v>
      </c>
      <c r="G59" s="202"/>
      <c r="H59" s="204"/>
      <c r="I59" s="205"/>
      <c r="J59" s="205"/>
      <c r="K59" s="206">
        <v>890.52</v>
      </c>
      <c r="L59" s="205">
        <f t="shared" si="18"/>
        <v>-0.7200000000000273</v>
      </c>
      <c r="M59" s="266">
        <f t="shared" si="17"/>
        <v>0.9991914836275434</v>
      </c>
      <c r="N59" s="236"/>
      <c r="O59" s="220">
        <f>F59-липень!F59</f>
        <v>158.91999999999996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29"/>
      <c r="H89" s="429"/>
      <c r="I89" s="429"/>
      <c r="J89" s="429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21"/>
      <c r="P90" s="421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15"/>
      <c r="H91" s="415"/>
      <c r="I91" s="131"/>
      <c r="J91" s="418"/>
      <c r="K91" s="418"/>
      <c r="L91" s="418"/>
      <c r="M91" s="418"/>
      <c r="N91" s="418"/>
      <c r="O91" s="421"/>
      <c r="P91" s="421"/>
    </row>
    <row r="92" spans="3:16" ht="15.75" customHeight="1">
      <c r="C92" s="87">
        <v>42611</v>
      </c>
      <c r="D92" s="31">
        <v>8603.9</v>
      </c>
      <c r="F92" s="73"/>
      <c r="G92" s="415"/>
      <c r="H92" s="415"/>
      <c r="I92" s="131"/>
      <c r="J92" s="422"/>
      <c r="K92" s="422"/>
      <c r="L92" s="422"/>
      <c r="M92" s="422"/>
      <c r="N92" s="422"/>
      <c r="O92" s="421"/>
      <c r="P92" s="421"/>
    </row>
    <row r="93" spans="3:14" ht="15.75" customHeight="1">
      <c r="C93" s="87"/>
      <c r="F93" s="73"/>
      <c r="G93" s="417"/>
      <c r="H93" s="417"/>
      <c r="I93" s="139"/>
      <c r="J93" s="418"/>
      <c r="K93" s="418"/>
      <c r="L93" s="418"/>
      <c r="M93" s="418"/>
      <c r="N93" s="418"/>
    </row>
    <row r="94" spans="2:14" ht="18" customHeight="1">
      <c r="B94" s="419" t="s">
        <v>57</v>
      </c>
      <c r="C94" s="420"/>
      <c r="D94" s="148">
        <f>'[1]залишки  (2)'!$G$6/1000</f>
        <v>528.27207</v>
      </c>
      <c r="E94" s="74"/>
      <c r="F94" s="140" t="s">
        <v>137</v>
      </c>
      <c r="G94" s="415"/>
      <c r="H94" s="415"/>
      <c r="I94" s="141"/>
      <c r="J94" s="418"/>
      <c r="K94" s="418"/>
      <c r="L94" s="418"/>
      <c r="M94" s="418"/>
      <c r="N94" s="418"/>
    </row>
    <row r="95" spans="6:13" ht="9.75" customHeight="1">
      <c r="F95" s="73"/>
      <c r="G95" s="415"/>
      <c r="H95" s="415"/>
      <c r="I95" s="73"/>
      <c r="J95" s="74"/>
      <c r="K95" s="74"/>
      <c r="L95" s="74"/>
      <c r="M95" s="74"/>
    </row>
    <row r="96" spans="2:13" ht="22.5" customHeight="1" hidden="1">
      <c r="B96" s="413" t="s">
        <v>60</v>
      </c>
      <c r="C96" s="414"/>
      <c r="D96" s="86">
        <v>0</v>
      </c>
      <c r="E96" s="56" t="s">
        <v>24</v>
      </c>
      <c r="F96" s="73"/>
      <c r="G96" s="415"/>
      <c r="H96" s="415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16"/>
      <c r="P98" s="416"/>
    </row>
    <row r="99" spans="15:16" ht="15">
      <c r="O99" s="415"/>
      <c r="P99" s="415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1" sqref="G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6" t="s">
        <v>188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92"/>
      <c r="S1" s="93"/>
    </row>
    <row r="2" spans="2:19" s="1" customFormat="1" ht="15.75" customHeight="1">
      <c r="B2" s="437"/>
      <c r="C2" s="437"/>
      <c r="D2" s="437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89"/>
      <c r="N3" s="446" t="s">
        <v>183</v>
      </c>
      <c r="O3" s="447" t="s">
        <v>184</v>
      </c>
      <c r="P3" s="447"/>
      <c r="Q3" s="447"/>
      <c r="R3" s="447"/>
      <c r="S3" s="447"/>
    </row>
    <row r="4" spans="1:19" ht="22.5" customHeight="1">
      <c r="A4" s="438"/>
      <c r="B4" s="440"/>
      <c r="C4" s="441"/>
      <c r="D4" s="442"/>
      <c r="E4" s="448" t="s">
        <v>179</v>
      </c>
      <c r="F4" s="430" t="s">
        <v>34</v>
      </c>
      <c r="G4" s="423" t="s">
        <v>180</v>
      </c>
      <c r="H4" s="432" t="s">
        <v>181</v>
      </c>
      <c r="I4" s="423" t="s">
        <v>122</v>
      </c>
      <c r="J4" s="432" t="s">
        <v>123</v>
      </c>
      <c r="K4" s="91" t="s">
        <v>186</v>
      </c>
      <c r="L4" s="249" t="s">
        <v>185</v>
      </c>
      <c r="M4" s="96" t="s">
        <v>64</v>
      </c>
      <c r="N4" s="432"/>
      <c r="O4" s="434" t="s">
        <v>189</v>
      </c>
      <c r="P4" s="423" t="s">
        <v>50</v>
      </c>
      <c r="Q4" s="425" t="s">
        <v>49</v>
      </c>
      <c r="R4" s="97" t="s">
        <v>65</v>
      </c>
      <c r="S4" s="98" t="s">
        <v>64</v>
      </c>
    </row>
    <row r="5" spans="1:19" ht="67.5" customHeight="1">
      <c r="A5" s="439"/>
      <c r="B5" s="440"/>
      <c r="C5" s="441"/>
      <c r="D5" s="442"/>
      <c r="E5" s="449"/>
      <c r="F5" s="431"/>
      <c r="G5" s="424"/>
      <c r="H5" s="433"/>
      <c r="I5" s="424"/>
      <c r="J5" s="433"/>
      <c r="K5" s="426" t="s">
        <v>182</v>
      </c>
      <c r="L5" s="427"/>
      <c r="M5" s="428"/>
      <c r="N5" s="433"/>
      <c r="O5" s="435"/>
      <c r="P5" s="424"/>
      <c r="Q5" s="425"/>
      <c r="R5" s="426" t="s">
        <v>120</v>
      </c>
      <c r="S5" s="428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730.88</v>
      </c>
      <c r="G59" s="202"/>
      <c r="H59" s="204"/>
      <c r="I59" s="205"/>
      <c r="J59" s="205"/>
      <c r="K59" s="206">
        <v>683.21</v>
      </c>
      <c r="L59" s="205">
        <f t="shared" si="24"/>
        <v>47.66999999999996</v>
      </c>
      <c r="M59" s="266">
        <f t="shared" si="25"/>
        <v>1.0697735688880432</v>
      </c>
      <c r="N59" s="236"/>
      <c r="O59" s="220">
        <f>F59-червень!F58</f>
        <v>139.21000000000004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29"/>
      <c r="H89" s="429"/>
      <c r="I89" s="429"/>
      <c r="J89" s="429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21"/>
      <c r="P90" s="421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15"/>
      <c r="H91" s="415"/>
      <c r="I91" s="131"/>
      <c r="J91" s="418"/>
      <c r="K91" s="418"/>
      <c r="L91" s="418"/>
      <c r="M91" s="418"/>
      <c r="N91" s="418"/>
      <c r="O91" s="421"/>
      <c r="P91" s="421"/>
    </row>
    <row r="92" spans="3:16" ht="15.75" customHeight="1">
      <c r="C92" s="87">
        <v>42578</v>
      </c>
      <c r="D92" s="31">
        <v>8357.1</v>
      </c>
      <c r="F92" s="73"/>
      <c r="G92" s="415"/>
      <c r="H92" s="415"/>
      <c r="I92" s="131"/>
      <c r="J92" s="422"/>
      <c r="K92" s="422"/>
      <c r="L92" s="422"/>
      <c r="M92" s="422"/>
      <c r="N92" s="422"/>
      <c r="O92" s="421"/>
      <c r="P92" s="421"/>
    </row>
    <row r="93" spans="3:14" ht="15.75" customHeight="1">
      <c r="C93" s="87"/>
      <c r="F93" s="73"/>
      <c r="G93" s="417"/>
      <c r="H93" s="417"/>
      <c r="I93" s="139"/>
      <c r="J93" s="418"/>
      <c r="K93" s="418"/>
      <c r="L93" s="418"/>
      <c r="M93" s="418"/>
      <c r="N93" s="418"/>
    </row>
    <row r="94" spans="2:14" ht="18.75" customHeight="1">
      <c r="B94" s="419" t="s">
        <v>57</v>
      </c>
      <c r="C94" s="420"/>
      <c r="D94" s="148">
        <v>14372.98265</v>
      </c>
      <c r="E94" s="74"/>
      <c r="F94" s="140" t="s">
        <v>137</v>
      </c>
      <c r="G94" s="415"/>
      <c r="H94" s="415"/>
      <c r="I94" s="141"/>
      <c r="J94" s="418"/>
      <c r="K94" s="418"/>
      <c r="L94" s="418"/>
      <c r="M94" s="418"/>
      <c r="N94" s="418"/>
    </row>
    <row r="95" spans="6:13" ht="9.75" customHeight="1" hidden="1">
      <c r="F95" s="73"/>
      <c r="G95" s="415"/>
      <c r="H95" s="415"/>
      <c r="I95" s="73"/>
      <c r="J95" s="74"/>
      <c r="K95" s="74"/>
      <c r="L95" s="74"/>
      <c r="M95" s="74"/>
    </row>
    <row r="96" spans="2:13" ht="22.5" customHeight="1" hidden="1">
      <c r="B96" s="413" t="s">
        <v>60</v>
      </c>
      <c r="C96" s="414"/>
      <c r="D96" s="86">
        <v>0</v>
      </c>
      <c r="E96" s="56" t="s">
        <v>24</v>
      </c>
      <c r="F96" s="73"/>
      <c r="G96" s="415"/>
      <c r="H96" s="415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16"/>
      <c r="P98" s="416"/>
    </row>
    <row r="99" spans="15:16" ht="15">
      <c r="O99" s="415"/>
      <c r="P99" s="415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5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0" sqref="F6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0" t="s">
        <v>177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46" t="s">
        <v>172</v>
      </c>
      <c r="N3" s="425" t="s">
        <v>173</v>
      </c>
      <c r="O3" s="425"/>
      <c r="P3" s="425"/>
      <c r="Q3" s="425"/>
      <c r="R3" s="425"/>
    </row>
    <row r="4" spans="1:18" ht="22.5" customHeight="1">
      <c r="A4" s="438"/>
      <c r="B4" s="440"/>
      <c r="C4" s="441"/>
      <c r="D4" s="442"/>
      <c r="E4" s="448" t="s">
        <v>170</v>
      </c>
      <c r="F4" s="451" t="s">
        <v>34</v>
      </c>
      <c r="G4" s="423" t="s">
        <v>171</v>
      </c>
      <c r="H4" s="432" t="s">
        <v>175</v>
      </c>
      <c r="I4" s="423" t="s">
        <v>122</v>
      </c>
      <c r="J4" s="432" t="s">
        <v>123</v>
      </c>
      <c r="K4" s="248" t="s">
        <v>65</v>
      </c>
      <c r="L4" s="283" t="s">
        <v>64</v>
      </c>
      <c r="M4" s="432"/>
      <c r="N4" s="434" t="s">
        <v>178</v>
      </c>
      <c r="O4" s="423" t="s">
        <v>50</v>
      </c>
      <c r="P4" s="425" t="s">
        <v>49</v>
      </c>
      <c r="Q4" s="284" t="s">
        <v>65</v>
      </c>
      <c r="R4" s="285" t="s">
        <v>64</v>
      </c>
    </row>
    <row r="5" spans="1:18" ht="67.5" customHeight="1">
      <c r="A5" s="439"/>
      <c r="B5" s="440"/>
      <c r="C5" s="441"/>
      <c r="D5" s="442"/>
      <c r="E5" s="449"/>
      <c r="F5" s="452"/>
      <c r="G5" s="424"/>
      <c r="H5" s="433"/>
      <c r="I5" s="424"/>
      <c r="J5" s="433"/>
      <c r="K5" s="426" t="s">
        <v>174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v>591.67</v>
      </c>
      <c r="G58" s="310"/>
      <c r="H58" s="311"/>
      <c r="I58" s="312"/>
      <c r="J58" s="312"/>
      <c r="K58" s="313">
        <f>F58-577.4</f>
        <v>14.269999999999982</v>
      </c>
      <c r="L58" s="313">
        <f>F58/577.4*100</f>
        <v>102.47142362313821</v>
      </c>
      <c r="M58" s="341"/>
      <c r="N58" s="342">
        <f>F58-травень!F58</f>
        <v>112.99999999999994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30.75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9"/>
      <c r="H88" s="429"/>
      <c r="I88" s="429"/>
      <c r="J88" s="429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21"/>
      <c r="O89" s="421"/>
    </row>
    <row r="90" spans="3:15" ht="15">
      <c r="C90" s="87">
        <v>42550</v>
      </c>
      <c r="D90" s="31">
        <v>11029.3</v>
      </c>
      <c r="F90" s="124" t="s">
        <v>59</v>
      </c>
      <c r="G90" s="415"/>
      <c r="H90" s="415"/>
      <c r="I90" s="131"/>
      <c r="J90" s="418"/>
      <c r="K90" s="418"/>
      <c r="L90" s="418"/>
      <c r="M90" s="418"/>
      <c r="N90" s="421"/>
      <c r="O90" s="421"/>
    </row>
    <row r="91" spans="3:15" ht="15.75" customHeight="1">
      <c r="C91" s="87">
        <v>42545</v>
      </c>
      <c r="D91" s="31">
        <v>6499.7</v>
      </c>
      <c r="F91" s="73"/>
      <c r="G91" s="415"/>
      <c r="H91" s="415"/>
      <c r="I91" s="131"/>
      <c r="J91" s="422"/>
      <c r="K91" s="422"/>
      <c r="L91" s="422"/>
      <c r="M91" s="422"/>
      <c r="N91" s="421"/>
      <c r="O91" s="421"/>
    </row>
    <row r="92" spans="3:13" ht="15.75" customHeight="1">
      <c r="C92" s="87"/>
      <c r="F92" s="73"/>
      <c r="G92" s="417"/>
      <c r="H92" s="417"/>
      <c r="I92" s="139"/>
      <c r="J92" s="418"/>
      <c r="K92" s="418"/>
      <c r="L92" s="418"/>
      <c r="M92" s="418"/>
    </row>
    <row r="93" spans="2:13" ht="18.75" customHeight="1">
      <c r="B93" s="419" t="s">
        <v>57</v>
      </c>
      <c r="C93" s="420"/>
      <c r="D93" s="148">
        <v>9447.89588</v>
      </c>
      <c r="E93" s="74"/>
      <c r="F93" s="140" t="s">
        <v>137</v>
      </c>
      <c r="G93" s="415"/>
      <c r="H93" s="415"/>
      <c r="I93" s="141"/>
      <c r="J93" s="418"/>
      <c r="K93" s="418"/>
      <c r="L93" s="418"/>
      <c r="M93" s="418"/>
    </row>
    <row r="94" spans="6:12" ht="9.75" customHeight="1">
      <c r="F94" s="73"/>
      <c r="G94" s="415"/>
      <c r="H94" s="415"/>
      <c r="I94" s="73"/>
      <c r="J94" s="74"/>
      <c r="K94" s="74"/>
      <c r="L94" s="74"/>
    </row>
    <row r="95" spans="2:12" ht="22.5" customHeight="1">
      <c r="B95" s="413" t="s">
        <v>60</v>
      </c>
      <c r="C95" s="414"/>
      <c r="D95" s="86">
        <v>0</v>
      </c>
      <c r="E95" s="56" t="s">
        <v>24</v>
      </c>
      <c r="F95" s="73"/>
      <c r="G95" s="415"/>
      <c r="H95" s="415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16"/>
      <c r="O97" s="416"/>
    </row>
    <row r="98" spans="14:15" ht="15">
      <c r="N98" s="415"/>
      <c r="O98" s="415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8" sqref="F5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6" t="s">
        <v>168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46" t="s">
        <v>162</v>
      </c>
      <c r="N3" s="447" t="s">
        <v>163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158</v>
      </c>
      <c r="F4" s="453" t="s">
        <v>34</v>
      </c>
      <c r="G4" s="423" t="s">
        <v>159</v>
      </c>
      <c r="H4" s="432" t="s">
        <v>160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34" t="s">
        <v>169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78.7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161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9"/>
      <c r="H88" s="429"/>
      <c r="I88" s="429"/>
      <c r="J88" s="429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21"/>
      <c r="O89" s="421"/>
    </row>
    <row r="90" spans="3:15" ht="15">
      <c r="C90" s="87">
        <v>42520</v>
      </c>
      <c r="D90" s="31">
        <v>8891</v>
      </c>
      <c r="F90" s="124" t="s">
        <v>59</v>
      </c>
      <c r="G90" s="415"/>
      <c r="H90" s="415"/>
      <c r="I90" s="131"/>
      <c r="J90" s="418"/>
      <c r="K90" s="418"/>
      <c r="L90" s="418"/>
      <c r="M90" s="418"/>
      <c r="N90" s="421"/>
      <c r="O90" s="421"/>
    </row>
    <row r="91" spans="3:15" ht="15.75" customHeight="1">
      <c r="C91" s="87">
        <v>42517</v>
      </c>
      <c r="D91" s="31">
        <v>7356.3</v>
      </c>
      <c r="F91" s="73"/>
      <c r="G91" s="415"/>
      <c r="H91" s="415"/>
      <c r="I91" s="131"/>
      <c r="J91" s="422"/>
      <c r="K91" s="422"/>
      <c r="L91" s="422"/>
      <c r="M91" s="422"/>
      <c r="N91" s="421"/>
      <c r="O91" s="421"/>
    </row>
    <row r="92" spans="3:13" ht="15.75" customHeight="1">
      <c r="C92" s="87"/>
      <c r="F92" s="73"/>
      <c r="G92" s="417"/>
      <c r="H92" s="417"/>
      <c r="I92" s="139"/>
      <c r="J92" s="418"/>
      <c r="K92" s="418"/>
      <c r="L92" s="418"/>
      <c r="M92" s="418"/>
    </row>
    <row r="93" spans="2:13" ht="18.75" customHeight="1">
      <c r="B93" s="419" t="s">
        <v>57</v>
      </c>
      <c r="C93" s="420"/>
      <c r="D93" s="148">
        <v>2811.04042</v>
      </c>
      <c r="E93" s="74"/>
      <c r="F93" s="140" t="s">
        <v>137</v>
      </c>
      <c r="G93" s="415"/>
      <c r="H93" s="415"/>
      <c r="I93" s="141"/>
      <c r="J93" s="418"/>
      <c r="K93" s="418"/>
      <c r="L93" s="418"/>
      <c r="M93" s="418"/>
    </row>
    <row r="94" spans="6:12" ht="9.75" customHeight="1">
      <c r="F94" s="73"/>
      <c r="G94" s="415"/>
      <c r="H94" s="415"/>
      <c r="I94" s="73"/>
      <c r="J94" s="74"/>
      <c r="K94" s="74"/>
      <c r="L94" s="74"/>
    </row>
    <row r="95" spans="2:12" ht="22.5" customHeight="1">
      <c r="B95" s="413" t="s">
        <v>60</v>
      </c>
      <c r="C95" s="414"/>
      <c r="D95" s="86">
        <v>0</v>
      </c>
      <c r="E95" s="56" t="s">
        <v>24</v>
      </c>
      <c r="F95" s="73"/>
      <c r="G95" s="415"/>
      <c r="H95" s="415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16"/>
      <c r="O97" s="416"/>
    </row>
    <row r="98" spans="14:15" ht="15">
      <c r="N98" s="415"/>
      <c r="O98" s="415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4" sqref="F5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6" t="s">
        <v>156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46" t="s">
        <v>153</v>
      </c>
      <c r="N3" s="447" t="s">
        <v>154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150</v>
      </c>
      <c r="F4" s="453" t="s">
        <v>34</v>
      </c>
      <c r="G4" s="423" t="s">
        <v>151</v>
      </c>
      <c r="H4" s="432" t="s">
        <v>152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34" t="s">
        <v>157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78.7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155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29"/>
      <c r="H84" s="429"/>
      <c r="I84" s="429"/>
      <c r="J84" s="429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21"/>
      <c r="O85" s="421"/>
    </row>
    <row r="86" spans="3:15" ht="15">
      <c r="C86" s="87">
        <v>42488</v>
      </c>
      <c r="D86" s="31">
        <v>11419.7</v>
      </c>
      <c r="F86" s="124" t="s">
        <v>59</v>
      </c>
      <c r="G86" s="415"/>
      <c r="H86" s="415"/>
      <c r="I86" s="131"/>
      <c r="J86" s="418"/>
      <c r="K86" s="418"/>
      <c r="L86" s="418"/>
      <c r="M86" s="418"/>
      <c r="N86" s="421"/>
      <c r="O86" s="421"/>
    </row>
    <row r="87" spans="3:15" ht="15.75" customHeight="1">
      <c r="C87" s="87">
        <v>42487</v>
      </c>
      <c r="D87" s="31">
        <v>7800.7</v>
      </c>
      <c r="F87" s="73"/>
      <c r="G87" s="415"/>
      <c r="H87" s="415"/>
      <c r="I87" s="131"/>
      <c r="J87" s="422"/>
      <c r="K87" s="422"/>
      <c r="L87" s="422"/>
      <c r="M87" s="422"/>
      <c r="N87" s="421"/>
      <c r="O87" s="421"/>
    </row>
    <row r="88" spans="3:13" ht="15.75" customHeight="1">
      <c r="C88" s="87"/>
      <c r="F88" s="73"/>
      <c r="G88" s="417"/>
      <c r="H88" s="417"/>
      <c r="I88" s="139"/>
      <c r="J88" s="418"/>
      <c r="K88" s="418"/>
      <c r="L88" s="418"/>
      <c r="M88" s="418"/>
    </row>
    <row r="89" spans="2:13" ht="18.75" customHeight="1">
      <c r="B89" s="419" t="s">
        <v>57</v>
      </c>
      <c r="C89" s="420"/>
      <c r="D89" s="148">
        <v>9087.9705</v>
      </c>
      <c r="E89" s="74"/>
      <c r="F89" s="140" t="s">
        <v>137</v>
      </c>
      <c r="G89" s="415"/>
      <c r="H89" s="415"/>
      <c r="I89" s="141"/>
      <c r="J89" s="418"/>
      <c r="K89" s="418"/>
      <c r="L89" s="418"/>
      <c r="M89" s="418"/>
    </row>
    <row r="90" spans="6:12" ht="9.75" customHeight="1">
      <c r="F90" s="73"/>
      <c r="G90" s="415"/>
      <c r="H90" s="415"/>
      <c r="I90" s="73"/>
      <c r="J90" s="74"/>
      <c r="K90" s="74"/>
      <c r="L90" s="74"/>
    </row>
    <row r="91" spans="2:12" ht="22.5" customHeight="1" hidden="1">
      <c r="B91" s="413" t="s">
        <v>60</v>
      </c>
      <c r="C91" s="414"/>
      <c r="D91" s="86">
        <v>0</v>
      </c>
      <c r="E91" s="56" t="s">
        <v>24</v>
      </c>
      <c r="F91" s="73"/>
      <c r="G91" s="415"/>
      <c r="H91" s="415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15"/>
      <c r="O92" s="415"/>
    </row>
    <row r="93" spans="4:15" ht="15">
      <c r="D93" s="83"/>
      <c r="I93" s="31"/>
      <c r="N93" s="416"/>
      <c r="O93" s="416"/>
    </row>
    <row r="94" spans="14:15" ht="15">
      <c r="N94" s="415"/>
      <c r="O94" s="415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6" t="s">
        <v>148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46" t="s">
        <v>147</v>
      </c>
      <c r="N3" s="447" t="s">
        <v>143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146</v>
      </c>
      <c r="F4" s="453" t="s">
        <v>34</v>
      </c>
      <c r="G4" s="423" t="s">
        <v>141</v>
      </c>
      <c r="H4" s="432" t="s">
        <v>142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34" t="s">
        <v>149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78.7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144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29"/>
      <c r="H83" s="429"/>
      <c r="I83" s="429"/>
      <c r="J83" s="429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21"/>
      <c r="O84" s="421"/>
    </row>
    <row r="85" spans="3:15" ht="15">
      <c r="C85" s="87">
        <v>42459</v>
      </c>
      <c r="D85" s="31">
        <v>7576.3</v>
      </c>
      <c r="F85" s="124" t="s">
        <v>59</v>
      </c>
      <c r="G85" s="415"/>
      <c r="H85" s="415"/>
      <c r="I85" s="131"/>
      <c r="J85" s="418"/>
      <c r="K85" s="418"/>
      <c r="L85" s="418"/>
      <c r="M85" s="418"/>
      <c r="N85" s="421"/>
      <c r="O85" s="421"/>
    </row>
    <row r="86" spans="3:15" ht="15.75" customHeight="1">
      <c r="C86" s="87">
        <v>42458</v>
      </c>
      <c r="D86" s="31">
        <v>9190.1</v>
      </c>
      <c r="F86" s="73"/>
      <c r="G86" s="415"/>
      <c r="H86" s="415"/>
      <c r="I86" s="131"/>
      <c r="J86" s="422"/>
      <c r="K86" s="422"/>
      <c r="L86" s="422"/>
      <c r="M86" s="422"/>
      <c r="N86" s="421"/>
      <c r="O86" s="421"/>
    </row>
    <row r="87" spans="3:13" ht="15.75" customHeight="1">
      <c r="C87" s="87"/>
      <c r="F87" s="73"/>
      <c r="G87" s="417"/>
      <c r="H87" s="417"/>
      <c r="I87" s="139"/>
      <c r="J87" s="418"/>
      <c r="K87" s="418"/>
      <c r="L87" s="418"/>
      <c r="M87" s="418"/>
    </row>
    <row r="88" spans="2:13" ht="18.75" customHeight="1">
      <c r="B88" s="419" t="s">
        <v>57</v>
      </c>
      <c r="C88" s="420"/>
      <c r="D88" s="148">
        <f>4343.7</f>
        <v>4343.7</v>
      </c>
      <c r="E88" s="74"/>
      <c r="F88" s="140" t="s">
        <v>137</v>
      </c>
      <c r="G88" s="415"/>
      <c r="H88" s="415"/>
      <c r="I88" s="141"/>
      <c r="J88" s="418"/>
      <c r="K88" s="418"/>
      <c r="L88" s="418"/>
      <c r="M88" s="418"/>
    </row>
    <row r="89" spans="6:12" ht="9.75" customHeight="1">
      <c r="F89" s="73"/>
      <c r="G89" s="415"/>
      <c r="H89" s="415"/>
      <c r="I89" s="73"/>
      <c r="J89" s="74"/>
      <c r="K89" s="74"/>
      <c r="L89" s="74"/>
    </row>
    <row r="90" spans="2:12" ht="22.5" customHeight="1" hidden="1">
      <c r="B90" s="413" t="s">
        <v>60</v>
      </c>
      <c r="C90" s="414"/>
      <c r="D90" s="86">
        <v>0</v>
      </c>
      <c r="E90" s="56" t="s">
        <v>24</v>
      </c>
      <c r="F90" s="73"/>
      <c r="G90" s="415"/>
      <c r="H90" s="41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5"/>
      <c r="O91" s="415"/>
    </row>
    <row r="92" spans="4:15" ht="15">
      <c r="D92" s="83"/>
      <c r="I92" s="31"/>
      <c r="N92" s="416"/>
      <c r="O92" s="416"/>
    </row>
    <row r="93" spans="14:15" ht="15">
      <c r="N93" s="415"/>
      <c r="O93" s="415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6" t="s">
        <v>139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92"/>
      <c r="R1" s="93"/>
    </row>
    <row r="2" spans="2:18" s="1" customFormat="1" ht="15.75" customHeight="1">
      <c r="B2" s="455"/>
      <c r="C2" s="455"/>
      <c r="D2" s="45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8"/>
      <c r="B3" s="440"/>
      <c r="C3" s="441" t="s">
        <v>0</v>
      </c>
      <c r="D3" s="442" t="s">
        <v>121</v>
      </c>
      <c r="E3" s="34"/>
      <c r="F3" s="443" t="s">
        <v>26</v>
      </c>
      <c r="G3" s="444"/>
      <c r="H3" s="444"/>
      <c r="I3" s="444"/>
      <c r="J3" s="445"/>
      <c r="K3" s="89"/>
      <c r="L3" s="89"/>
      <c r="M3" s="456" t="s">
        <v>128</v>
      </c>
      <c r="N3" s="447" t="s">
        <v>119</v>
      </c>
      <c r="O3" s="447"/>
      <c r="P3" s="447"/>
      <c r="Q3" s="447"/>
      <c r="R3" s="447"/>
    </row>
    <row r="4" spans="1:18" ht="22.5" customHeight="1">
      <c r="A4" s="438"/>
      <c r="B4" s="440"/>
      <c r="C4" s="441"/>
      <c r="D4" s="442"/>
      <c r="E4" s="448" t="s">
        <v>127</v>
      </c>
      <c r="F4" s="453" t="s">
        <v>34</v>
      </c>
      <c r="G4" s="423" t="s">
        <v>116</v>
      </c>
      <c r="H4" s="432" t="s">
        <v>117</v>
      </c>
      <c r="I4" s="423" t="s">
        <v>122</v>
      </c>
      <c r="J4" s="432" t="s">
        <v>123</v>
      </c>
      <c r="K4" s="91" t="s">
        <v>65</v>
      </c>
      <c r="L4" s="96" t="s">
        <v>64</v>
      </c>
      <c r="M4" s="432"/>
      <c r="N4" s="434" t="s">
        <v>140</v>
      </c>
      <c r="O4" s="423" t="s">
        <v>50</v>
      </c>
      <c r="P4" s="425" t="s">
        <v>49</v>
      </c>
      <c r="Q4" s="97" t="s">
        <v>65</v>
      </c>
      <c r="R4" s="98" t="s">
        <v>64</v>
      </c>
    </row>
    <row r="5" spans="1:18" ht="92.25" customHeight="1">
      <c r="A5" s="439"/>
      <c r="B5" s="440"/>
      <c r="C5" s="441"/>
      <c r="D5" s="442"/>
      <c r="E5" s="449"/>
      <c r="F5" s="454"/>
      <c r="G5" s="424"/>
      <c r="H5" s="433"/>
      <c r="I5" s="424"/>
      <c r="J5" s="433"/>
      <c r="K5" s="426" t="s">
        <v>118</v>
      </c>
      <c r="L5" s="428"/>
      <c r="M5" s="433"/>
      <c r="N5" s="435"/>
      <c r="O5" s="424"/>
      <c r="P5" s="425"/>
      <c r="Q5" s="426" t="s">
        <v>120</v>
      </c>
      <c r="R5" s="42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9"/>
      <c r="H83" s="429"/>
      <c r="I83" s="429"/>
      <c r="J83" s="429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21"/>
      <c r="O84" s="421"/>
    </row>
    <row r="85" spans="3:15" ht="15">
      <c r="C85" s="87">
        <v>42426</v>
      </c>
      <c r="D85" s="31">
        <v>6256.2</v>
      </c>
      <c r="F85" s="124" t="s">
        <v>59</v>
      </c>
      <c r="G85" s="415"/>
      <c r="H85" s="415"/>
      <c r="I85" s="131"/>
      <c r="J85" s="418"/>
      <c r="K85" s="418"/>
      <c r="L85" s="418"/>
      <c r="M85" s="418"/>
      <c r="N85" s="421"/>
      <c r="O85" s="421"/>
    </row>
    <row r="86" spans="3:15" ht="15.75" customHeight="1">
      <c r="C86" s="87">
        <v>42425</v>
      </c>
      <c r="D86" s="31">
        <v>3536.9</v>
      </c>
      <c r="F86" s="73"/>
      <c r="G86" s="415"/>
      <c r="H86" s="415"/>
      <c r="I86" s="131"/>
      <c r="J86" s="422"/>
      <c r="K86" s="422"/>
      <c r="L86" s="422"/>
      <c r="M86" s="422"/>
      <c r="N86" s="421"/>
      <c r="O86" s="421"/>
    </row>
    <row r="87" spans="3:13" ht="15.75" customHeight="1">
      <c r="C87" s="87"/>
      <c r="F87" s="73"/>
      <c r="G87" s="417"/>
      <c r="H87" s="417"/>
      <c r="I87" s="139"/>
      <c r="J87" s="418"/>
      <c r="K87" s="418"/>
      <c r="L87" s="418"/>
      <c r="M87" s="418"/>
    </row>
    <row r="88" spans="2:13" ht="18.75" customHeight="1">
      <c r="B88" s="419" t="s">
        <v>57</v>
      </c>
      <c r="C88" s="420"/>
      <c r="D88" s="148">
        <v>505.3</v>
      </c>
      <c r="E88" s="74"/>
      <c r="F88" s="140" t="s">
        <v>137</v>
      </c>
      <c r="G88" s="415"/>
      <c r="H88" s="415"/>
      <c r="I88" s="141"/>
      <c r="J88" s="418"/>
      <c r="K88" s="418"/>
      <c r="L88" s="418"/>
      <c r="M88" s="418"/>
    </row>
    <row r="89" spans="6:12" ht="9.75" customHeight="1">
      <c r="F89" s="73"/>
      <c r="G89" s="415"/>
      <c r="H89" s="415"/>
      <c r="I89" s="73"/>
      <c r="J89" s="74"/>
      <c r="K89" s="74"/>
      <c r="L89" s="74"/>
    </row>
    <row r="90" spans="2:12" ht="22.5" customHeight="1" hidden="1">
      <c r="B90" s="413" t="s">
        <v>60</v>
      </c>
      <c r="C90" s="414"/>
      <c r="D90" s="86">
        <v>0</v>
      </c>
      <c r="E90" s="56" t="s">
        <v>24</v>
      </c>
      <c r="F90" s="73"/>
      <c r="G90" s="415"/>
      <c r="H90" s="41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5"/>
      <c r="O91" s="415"/>
    </row>
    <row r="92" spans="4:15" ht="15">
      <c r="D92" s="83"/>
      <c r="I92" s="31"/>
      <c r="N92" s="416"/>
      <c r="O92" s="416"/>
    </row>
    <row r="93" spans="14:15" ht="15">
      <c r="N93" s="415"/>
      <c r="O93" s="415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2016-10-21T07:13:04Z</cp:lastPrinted>
  <dcterms:created xsi:type="dcterms:W3CDTF">2003-07-28T11:27:56Z</dcterms:created>
  <dcterms:modified xsi:type="dcterms:W3CDTF">2016-10-21T07:29:14Z</dcterms:modified>
  <cp:category/>
  <cp:version/>
  <cp:contentType/>
  <cp:contentStatus/>
</cp:coreProperties>
</file>